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EPED-ENSINO\EXPEDIENTE\"/>
    </mc:Choice>
  </mc:AlternateContent>
  <bookViews>
    <workbookView xWindow="0" yWindow="0" windowWidth="28800" windowHeight="12330" activeTab="2"/>
  </bookViews>
  <sheets>
    <sheet name="Controle adm. dos cursos" sheetId="1" r:id="rId1"/>
    <sheet name="Resumo dos cursos" sheetId="4" r:id="rId2"/>
    <sheet name="Resultados" sheetId="7" r:id="rId3"/>
    <sheet name="Protocolos" sheetId="2" r:id="rId4"/>
    <sheet name="2018" sheetId="8" r:id="rId5"/>
    <sheet name="Sanepar" sheetId="9" r:id="rId6"/>
  </sheets>
  <externalReferences>
    <externalReference r:id="rId7"/>
  </externalReferences>
  <definedNames>
    <definedName name="_xlnm._FilterDatabase" localSheetId="3" hidden="1">Protocolos!$A$1:$C$1</definedName>
    <definedName name="_xlnm._FilterDatabase" localSheetId="1" hidden="1">'Resumo dos cursos'!#REF!</definedName>
  </definedNames>
  <calcPr calcId="162913"/>
</workbook>
</file>

<file path=xl/calcChain.xml><?xml version="1.0" encoding="utf-8"?>
<calcChain xmlns="http://schemas.openxmlformats.org/spreadsheetml/2006/main">
  <c r="B13" i="7" l="1"/>
  <c r="I3" i="4" l="1"/>
  <c r="I4" i="4"/>
  <c r="I5" i="4"/>
  <c r="I6" i="4"/>
  <c r="I7" i="4"/>
  <c r="I8" i="4"/>
  <c r="I9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B24" i="7" l="1"/>
  <c r="B29" i="7" l="1"/>
  <c r="B27" i="7" l="1"/>
  <c r="B28" i="7"/>
  <c r="B26" i="7"/>
  <c r="B25" i="7"/>
  <c r="B23" i="7"/>
  <c r="B22" i="7"/>
  <c r="B21" i="7"/>
  <c r="B20" i="7"/>
  <c r="B19" i="7"/>
  <c r="B18" i="7"/>
  <c r="B17" i="7" l="1"/>
  <c r="B16" i="7"/>
  <c r="C3" i="4"/>
  <c r="D31" i="4" l="1"/>
  <c r="D7" i="7"/>
  <c r="E7" i="7"/>
  <c r="G7" i="7"/>
  <c r="I7" i="7"/>
  <c r="J7" i="7"/>
  <c r="C7" i="7"/>
  <c r="I6" i="7"/>
  <c r="J6" i="7"/>
  <c r="D5" i="7"/>
  <c r="E5" i="7"/>
  <c r="G5" i="7"/>
  <c r="H5" i="7"/>
  <c r="I5" i="7"/>
  <c r="J5" i="7"/>
  <c r="C5" i="7"/>
  <c r="B7" i="7"/>
  <c r="B5" i="7"/>
  <c r="B6" i="7"/>
  <c r="B4" i="7"/>
  <c r="F7" i="7" l="1"/>
  <c r="K25" i="4"/>
  <c r="K24" i="4"/>
  <c r="D26" i="4"/>
  <c r="C26" i="4"/>
  <c r="C25" i="4"/>
  <c r="D25" i="4"/>
  <c r="C24" i="4"/>
  <c r="D24" i="4"/>
  <c r="C23" i="4"/>
  <c r="D23" i="4"/>
  <c r="H7" i="7" l="1"/>
  <c r="L1" i="4"/>
  <c r="I4" i="7" s="1"/>
  <c r="M1" i="4"/>
  <c r="J4" i="7" s="1"/>
  <c r="K10" i="4" l="1"/>
  <c r="J10" i="4"/>
  <c r="H10" i="4"/>
  <c r="G10" i="4"/>
  <c r="F10" i="4"/>
  <c r="I10" i="4" l="1"/>
  <c r="C6" i="7"/>
  <c r="D6" i="7"/>
  <c r="G6" i="7"/>
  <c r="E6" i="7"/>
  <c r="H6" i="7"/>
  <c r="K1" i="4"/>
  <c r="H4" i="7" s="1"/>
  <c r="J1" i="4"/>
  <c r="G4" i="7" s="1"/>
  <c r="H1" i="4"/>
  <c r="G1" i="4"/>
  <c r="F1" i="4"/>
  <c r="F6" i="7" l="1"/>
  <c r="C4" i="7"/>
  <c r="E4" i="7"/>
  <c r="D4" i="7"/>
  <c r="C4" i="4"/>
  <c r="D4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8" i="4"/>
  <c r="D28" i="4"/>
  <c r="C27" i="4"/>
  <c r="D27" i="4"/>
  <c r="C22" i="4"/>
  <c r="D22" i="4"/>
  <c r="C29" i="4"/>
  <c r="D29" i="4"/>
  <c r="C30" i="4"/>
  <c r="D30" i="4"/>
  <c r="C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D3" i="4"/>
  <c r="F4" i="7" l="1"/>
  <c r="I10" i="7"/>
  <c r="D9" i="7"/>
  <c r="G9" i="7"/>
  <c r="I9" i="7"/>
  <c r="D8" i="7"/>
  <c r="G8" i="7"/>
  <c r="I8" i="7"/>
  <c r="C9" i="7"/>
  <c r="D11" i="7"/>
  <c r="G11" i="7"/>
  <c r="J11" i="7"/>
  <c r="D13" i="7"/>
  <c r="G13" i="7"/>
  <c r="I13" i="7"/>
  <c r="C13" i="7"/>
  <c r="E12" i="7"/>
  <c r="H12" i="7"/>
  <c r="J12" i="7"/>
  <c r="J10" i="7"/>
  <c r="E9" i="7"/>
  <c r="H9" i="7"/>
  <c r="J9" i="7"/>
  <c r="E8" i="7"/>
  <c r="F8" i="7" s="1"/>
  <c r="H8" i="7"/>
  <c r="J8" i="7"/>
  <c r="C8" i="7"/>
  <c r="E11" i="7"/>
  <c r="I11" i="7"/>
  <c r="C11" i="7"/>
  <c r="E13" i="7"/>
  <c r="H13" i="7"/>
  <c r="J13" i="7"/>
  <c r="D12" i="7"/>
  <c r="G12" i="7"/>
  <c r="I12" i="7"/>
  <c r="C12" i="7"/>
  <c r="H11" i="7"/>
  <c r="C10" i="7"/>
  <c r="D10" i="7"/>
  <c r="G10" i="7"/>
  <c r="E10" i="7"/>
  <c r="H10" i="7"/>
  <c r="B12" i="7"/>
  <c r="B10" i="7"/>
  <c r="B8" i="7"/>
  <c r="B11" i="7"/>
  <c r="B9" i="7"/>
  <c r="F11" i="7" l="1"/>
  <c r="F10" i="7"/>
  <c r="F13" i="7"/>
  <c r="F9" i="7"/>
  <c r="F12" i="7"/>
</calcChain>
</file>

<file path=xl/comments1.xml><?xml version="1.0" encoding="utf-8"?>
<comments xmlns="http://schemas.openxmlformats.org/spreadsheetml/2006/main">
  <authors>
    <author>FABIO DELEK</author>
  </authors>
  <commentList>
    <comment ref="H2" authorId="0" shapeId="0">
      <text>
        <r>
          <rPr>
            <sz val="10"/>
            <color indexed="81"/>
            <rFont val="Tahoma"/>
            <family val="2"/>
          </rPr>
          <t>Aqueles que atingiram nota igual ou superior a 70,00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Em alguma atividade obtiveram nota inferior a 70,00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F</t>
        </r>
        <r>
          <rPr>
            <b/>
            <sz val="10"/>
            <color indexed="81"/>
            <rFont val="Tahoma"/>
            <family val="2"/>
          </rPr>
          <t>ABIO DELEK:</t>
        </r>
        <r>
          <rPr>
            <sz val="10"/>
            <color indexed="81"/>
            <rFont val="Tahoma"/>
            <family val="2"/>
          </rPr>
          <t xml:space="preserve">
Aqueles que por vontade própria, mesmo já tendo alguma nota no mínimo 70,00, desiste de continuar o curso.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Acessou o curso porém sequer respondeu o 1º questionário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10"/>
            <color indexed="81"/>
            <rFont val="Tahoma"/>
            <family val="2"/>
          </rPr>
          <t>equer acessou a página do curso que estava inscrito</t>
        </r>
      </text>
    </comment>
  </commentList>
</comments>
</file>

<file path=xl/sharedStrings.xml><?xml version="1.0" encoding="utf-8"?>
<sst xmlns="http://schemas.openxmlformats.org/spreadsheetml/2006/main" count="753" uniqueCount="237">
  <si>
    <t>Curso</t>
  </si>
  <si>
    <t>Projeto Pedagógico</t>
  </si>
  <si>
    <t>Encaminhamento</t>
  </si>
  <si>
    <t>Plano de Curso</t>
  </si>
  <si>
    <t>Termo de Matrícula</t>
  </si>
  <si>
    <t>Termo de Encerramento</t>
  </si>
  <si>
    <t>Apresentação de Resultados</t>
  </si>
  <si>
    <t>Termo de Cessão de Uso de Imagem, Voz e Propriedade Intelectual</t>
  </si>
  <si>
    <t>Não é necessário</t>
  </si>
  <si>
    <t>Aferição dos Custos</t>
  </si>
  <si>
    <t>Pago</t>
  </si>
  <si>
    <t>Conhecimentos Fundamentais para Gestores Municipais de Proteção e Defesa Civil - 2ª Turma</t>
  </si>
  <si>
    <t>Número do Protocolo</t>
  </si>
  <si>
    <t>Assunto</t>
  </si>
  <si>
    <t>Observações:</t>
  </si>
  <si>
    <t>14.077.770-6</t>
  </si>
  <si>
    <t>14.113.328-4</t>
  </si>
  <si>
    <t>Desenvolvimento de projetos gráfico-editorial</t>
  </si>
  <si>
    <t>Aquisição de equipamentos para o estúdio do CEPED</t>
  </si>
  <si>
    <t>Data de criação no CEPED/PR</t>
  </si>
  <si>
    <t>77/DPDC 17/04/18</t>
  </si>
  <si>
    <t>15.199.775-9</t>
  </si>
  <si>
    <t>Curso de Voluntários</t>
  </si>
  <si>
    <t>151/DPDC 15/09/15</t>
  </si>
  <si>
    <t>054/CEPED 25/09/15</t>
  </si>
  <si>
    <t>Diretor CEPED/Direção Acadêmica CEPED/Seção de Ensino</t>
  </si>
  <si>
    <t>Subchefe DPDC/Chefe DPDC/Diretor CEPED/Seção Ensino/Direção Acadêmica CEPED/Chefe CEPED/Seção de Ensino</t>
  </si>
  <si>
    <t>057/CEPED 19/10/15</t>
  </si>
  <si>
    <t>065/CEPED 19/10/15</t>
  </si>
  <si>
    <t>Encaminhamento3</t>
  </si>
  <si>
    <t>Encaminhamento7</t>
  </si>
  <si>
    <t>Ano</t>
  </si>
  <si>
    <t>xxxxxxxx</t>
  </si>
  <si>
    <t>SCI - Sistema de Comando de Incidentes - 1ª Turma</t>
  </si>
  <si>
    <t>SCI - Sistema de Comando de Incidentes</t>
  </si>
  <si>
    <t>SCI - Sistema de Comando de Incidentes - SESA</t>
  </si>
  <si>
    <t>Ensino/Diretor CEPED/Chefe DPDC/DA</t>
  </si>
  <si>
    <t>Ensino/Chefe CEPED/DG</t>
  </si>
  <si>
    <t>???</t>
  </si>
  <si>
    <t>040/CEPED 29/06/16</t>
  </si>
  <si>
    <t>Ensino/Diretor CEPED/Chefe DPDC</t>
  </si>
  <si>
    <t>Subchefe DPDC/Direção Acadêmica CEPED/Seção de Ensino</t>
  </si>
  <si>
    <t>065/DPDC 24/03/16</t>
  </si>
  <si>
    <t>045/CEPED 30/08/16</t>
  </si>
  <si>
    <t>SCI - Sistema de Comando de Incidentes - 1ª Turma - SANEPAR</t>
  </si>
  <si>
    <t>SCI - Sistema de Comando de Incidentes - 2º Turma - SANEPAR</t>
  </si>
  <si>
    <t>OK</t>
  </si>
  <si>
    <t>061/CEPED 28/08/17</t>
  </si>
  <si>
    <t>056/CEPED 14/08/17</t>
  </si>
  <si>
    <t>089/CEPED 21/11/17</t>
  </si>
  <si>
    <t>047 04/12/17</t>
  </si>
  <si>
    <t>034 04/09/17</t>
  </si>
  <si>
    <t>043 09/11/15</t>
  </si>
  <si>
    <t>047 07/12/15</t>
  </si>
  <si>
    <t>036 12/09/16</t>
  </si>
  <si>
    <t>033 14/08/17</t>
  </si>
  <si>
    <t>Minuta de Edital de Mobiliário no Formato Shopping.</t>
  </si>
  <si>
    <t>045/CEPED 25/07/16</t>
  </si>
  <si>
    <t>31 08/08/16</t>
  </si>
  <si>
    <t>059/CEPED 18/10/16</t>
  </si>
  <si>
    <t>043 31/10/16</t>
  </si>
  <si>
    <t>063/CEPED 07/09/17</t>
  </si>
  <si>
    <t>37 25/09/17</t>
  </si>
  <si>
    <t>085/CEPED 06/11/17</t>
  </si>
  <si>
    <t>044 13/11/17</t>
  </si>
  <si>
    <t>Conhecimentos Fundamentais para Gestores Municipais de Proteção e Defesa Civil - 1ª Turma</t>
  </si>
  <si>
    <t>008/CEPED 08/02/17</t>
  </si>
  <si>
    <t>033 28/08/17</t>
  </si>
  <si>
    <t>016/CEPED 10/03/17</t>
  </si>
  <si>
    <t>010 20/03/17</t>
  </si>
  <si>
    <t>018/CEPED 29/03/17</t>
  </si>
  <si>
    <t>012 03/04/17</t>
  </si>
  <si>
    <t>049/CEPED 04/07/17</t>
  </si>
  <si>
    <t>026 10/07/17</t>
  </si>
  <si>
    <t>055/CEPED 07/08/17</t>
  </si>
  <si>
    <t>032 21/08/17</t>
  </si>
  <si>
    <t>062/CEPED 28/08/17</t>
  </si>
  <si>
    <t>Publicação Boletim</t>
  </si>
  <si>
    <t>Publicação Boletim 2</t>
  </si>
  <si>
    <t>Publicação Boletim 3</t>
  </si>
  <si>
    <t>Publicação Boletim 4</t>
  </si>
  <si>
    <t>Publicação Boletim 5</t>
  </si>
  <si>
    <t>Encaminhamento2</t>
  </si>
  <si>
    <t>Encaminhamento4</t>
  </si>
  <si>
    <t>Encaminhamento5</t>
  </si>
  <si>
    <t>Encaminhamento6</t>
  </si>
  <si>
    <t>Não é necessário2</t>
  </si>
  <si>
    <t>104/DPDC 21/05/18</t>
  </si>
  <si>
    <t>104/DPDC21/05/18</t>
  </si>
  <si>
    <t>Chefe DPDC/Diretor CEPED/Direção Acadêmica CEPED/Seção de Ensino</t>
  </si>
  <si>
    <t>025/CEPED 05/04/17</t>
  </si>
  <si>
    <t>015 24/04/17</t>
  </si>
  <si>
    <t>Conhecimentos Básicos para Integrantes da REER - Rede Estadual de Emergência de Radioamadores - 1ª Turma</t>
  </si>
  <si>
    <t>Conhecimentos Básicos para Integrantes da REER - Rede Estadual de Emergência de Radioamadores - 2ª Turma</t>
  </si>
  <si>
    <t>Conhecimentos Básicos para Integrantes da REER - Rede Estadual de Emergência de Radioamadores - 3ª Turma</t>
  </si>
  <si>
    <t>129/DPDC 25/04/17</t>
  </si>
  <si>
    <t>Chefe DPDC/Seção de Ensino/Diretor CEPED/Direção Acadêmica CEPED</t>
  </si>
  <si>
    <t>018 15/05/17</t>
  </si>
  <si>
    <t>038/CEPED 31/05/17</t>
  </si>
  <si>
    <t>Ensino/Chefe DPDC/DA</t>
  </si>
  <si>
    <t>021 05/06/17</t>
  </si>
  <si>
    <t>071/CEPED 25/09/17</t>
  </si>
  <si>
    <t>038 21/10/17</t>
  </si>
  <si>
    <t>072/CEPED 25/09/17</t>
  </si>
  <si>
    <t>Formação de Brigadistas de Incêndio nos Palácios Iguaçu e Araucárias</t>
  </si>
  <si>
    <t>Ensino/Diretor CEPED/ Subchefe DPDC/Chefe DPDC/DA</t>
  </si>
  <si>
    <t>055/CEPED 21/09/16</t>
  </si>
  <si>
    <t>040 10/10/16</t>
  </si>
  <si>
    <t>Projetos para Capacitação de Recursos</t>
  </si>
  <si>
    <t>Projetos para Capacitação de Recursos - 1ª Turma</t>
  </si>
  <si>
    <t>Projetos para Capacitação de Recursos - 2ª Turma</t>
  </si>
  <si>
    <t>014 14/04/14</t>
  </si>
  <si>
    <t>029/CEPED 21/10/14</t>
  </si>
  <si>
    <t>Ensino/Diretor CEPED/DA</t>
  </si>
  <si>
    <t>042 27/10/14</t>
  </si>
  <si>
    <t>030/CEPED 21/10/14</t>
  </si>
  <si>
    <t>034/CEPED 24/10/14</t>
  </si>
  <si>
    <t>043 03/11/14</t>
  </si>
  <si>
    <t>048 08/12/14</t>
  </si>
  <si>
    <t>047/CEPED 20/08/15</t>
  </si>
  <si>
    <t>035 14/09/15</t>
  </si>
  <si>
    <t>052/CEPED 24/09/15</t>
  </si>
  <si>
    <t>038 05/10/15</t>
  </si>
  <si>
    <t>Plano de Contingência On-line - 1ª Turma</t>
  </si>
  <si>
    <t>Plano de Contingência On-line - 2ª Turma</t>
  </si>
  <si>
    <t>Chefe DPDC/DG/DA</t>
  </si>
  <si>
    <t>018 12/05/14</t>
  </si>
  <si>
    <t>Subchefe DPDC/Chefe DPDC/DA</t>
  </si>
  <si>
    <t>026 07/07/14</t>
  </si>
  <si>
    <t>209/DPDC 15/09/14</t>
  </si>
  <si>
    <t>Chefe DPDC/DA</t>
  </si>
  <si>
    <t>037 22/09/14</t>
  </si>
  <si>
    <t>040/CEPED 13/11/14</t>
  </si>
  <si>
    <t>Diretor CEPED/Chefe DPDC/DA</t>
  </si>
  <si>
    <t>046 24/11/14</t>
  </si>
  <si>
    <t>020 21/05/18</t>
  </si>
  <si>
    <t>Chefe DPDC/Diretor CEPED/Seção de Ensino</t>
  </si>
  <si>
    <t>Inscritos</t>
  </si>
  <si>
    <t>Matriculados</t>
  </si>
  <si>
    <t>QT</t>
  </si>
  <si>
    <t>Reprovados</t>
  </si>
  <si>
    <t>Desistentes</t>
  </si>
  <si>
    <t>CCVE - Condutor de Veículos de Emergência</t>
  </si>
  <si>
    <t>071/CEPED 22/12/16</t>
  </si>
  <si>
    <t>001 09/01/17</t>
  </si>
  <si>
    <t>Formados</t>
  </si>
  <si>
    <t>043/CEPED 14/06/18</t>
  </si>
  <si>
    <t xml:space="preserve">029/CEPED 11/05/18 </t>
  </si>
  <si>
    <t>046/CEPED 26/06/18</t>
  </si>
  <si>
    <t>Formação de Brigadistas para Universidades - Turmas UNESPAR e UEM</t>
  </si>
  <si>
    <t>076/CEPED 02/10/17</t>
  </si>
  <si>
    <t>039 09/10/17</t>
  </si>
  <si>
    <t>087/CEPED 14/11/17</t>
  </si>
  <si>
    <t>Capacitação de Brigadistas Escolares Municipais - 2ª Turma - Maringá</t>
  </si>
  <si>
    <t>Capacitação de Brigadistas Escolares Municipais - 1ª Turma - Maringá</t>
  </si>
  <si>
    <t>Ensino/Subchefe DPDC/Chefe DPDC/DA</t>
  </si>
  <si>
    <t>Ensino/Chefe CEPED/DG/DA</t>
  </si>
  <si>
    <t>053/CEPED 18/07/18</t>
  </si>
  <si>
    <t>030 30/07/18</t>
  </si>
  <si>
    <t>027 09/07/18</t>
  </si>
  <si>
    <t>Não responderam o 1º questionário</t>
  </si>
  <si>
    <t>Nunca acessaram o curso</t>
  </si>
  <si>
    <t xml:space="preserve">Intervenção e Saúde Mental em Desastres - Turma Curitiba </t>
  </si>
  <si>
    <t>Intervenção e Saúde Mental em Desastres - Turma Cascavel </t>
  </si>
  <si>
    <t>Intervenção e Saúde Mental em Desastres - Turma Londrina </t>
  </si>
  <si>
    <t>Intervenção e Saúde Mental em Desastres - Turma Maringá</t>
  </si>
  <si>
    <t>083/CEPED 31/10/17</t>
  </si>
  <si>
    <t>086/CEPED 06/11/17</t>
  </si>
  <si>
    <t>090/CEPED 21/11/17</t>
  </si>
  <si>
    <t>093/CEPED 28/11/197</t>
  </si>
  <si>
    <t>092/CEPED 28/11/17</t>
  </si>
  <si>
    <t>097/CEPED 04/12/17</t>
  </si>
  <si>
    <t>049 18/12/17</t>
  </si>
  <si>
    <t>096/CEPED 04/12/17</t>
  </si>
  <si>
    <t>ok</t>
  </si>
  <si>
    <t>Modalidade de Ensino</t>
  </si>
  <si>
    <t>Semipresencial</t>
  </si>
  <si>
    <t>A Distância</t>
  </si>
  <si>
    <t>Modalidade de Ensino Presencial</t>
  </si>
  <si>
    <t>Modalidade de Ensino Semipresencial</t>
  </si>
  <si>
    <t xml:space="preserve">Modalidade de Ensino a Distância </t>
  </si>
  <si>
    <t>RESULTADOS DOS CURSOS CEPED/PR</t>
  </si>
  <si>
    <t>TOTAL</t>
  </si>
  <si>
    <t>Ano de 2014</t>
  </si>
  <si>
    <t>Ano de 2015</t>
  </si>
  <si>
    <t>Ano de 2016</t>
  </si>
  <si>
    <t>Ano de 2017</t>
  </si>
  <si>
    <t>Ano de 2018</t>
  </si>
  <si>
    <t>Ano de 2019</t>
  </si>
  <si>
    <t>Total de Cursos</t>
  </si>
  <si>
    <t>Alunos</t>
  </si>
  <si>
    <t>Nome</t>
  </si>
  <si>
    <t>Capacitação Recursos</t>
  </si>
  <si>
    <t>SCI</t>
  </si>
  <si>
    <t>Brigadista - Mga</t>
  </si>
  <si>
    <t>Brigadista - PI/PA</t>
  </si>
  <si>
    <t>SCI - SESA</t>
  </si>
  <si>
    <t>REER</t>
  </si>
  <si>
    <t>SCI - SANEPAR</t>
  </si>
  <si>
    <t>Brigadista - UNESPAR</t>
  </si>
  <si>
    <t>Saúde Mental</t>
  </si>
  <si>
    <t>Voluntários</t>
  </si>
  <si>
    <t>Contingência On-Line</t>
  </si>
  <si>
    <t>Condutor Viaturas</t>
  </si>
  <si>
    <t>Brigadista - Maringá</t>
  </si>
  <si>
    <t>CURSOS CEPED</t>
  </si>
  <si>
    <t>070/CEPED 10/09/18</t>
  </si>
  <si>
    <t>073/CEPED 18/09/18</t>
  </si>
  <si>
    <t>Ensino/Chefe CEPED/ Subchefe CM/ DA</t>
  </si>
  <si>
    <t>037 17/09/18</t>
  </si>
  <si>
    <t>Doc4</t>
  </si>
  <si>
    <t>Doc</t>
  </si>
  <si>
    <t>Doc2</t>
  </si>
  <si>
    <t>Doc3</t>
  </si>
  <si>
    <t>Doc5</t>
  </si>
  <si>
    <t>15.419.998-5 08/10/18</t>
  </si>
  <si>
    <t>Ensino/Chefe CEPED/</t>
  </si>
  <si>
    <t>15.431.917-4 17/10/18</t>
  </si>
  <si>
    <t>Desenvolvimento de capacidades para tornar as cidades mais resilientes - Tutores</t>
  </si>
  <si>
    <t>Cidades Resilientes</t>
  </si>
  <si>
    <t>Total de Turmas</t>
  </si>
  <si>
    <t>15.440.400-7 26/10/17</t>
  </si>
  <si>
    <t>15.449.772-2 30/10/18</t>
  </si>
  <si>
    <t>038 14/09/18</t>
  </si>
  <si>
    <t>Conhecimentos Fundamentais em Proteção e Defesa Civil - SEDS</t>
  </si>
  <si>
    <t>Fundamental</t>
  </si>
  <si>
    <t>Desenvolvimento de capacidades para tornar as cidades mais resilientes - Turma 2018</t>
  </si>
  <si>
    <t>15.467.981-2 12/11/18</t>
  </si>
  <si>
    <t>15.483.579-2 26/11/18</t>
  </si>
  <si>
    <t>15.483.624-1 26/11/18</t>
  </si>
  <si>
    <t>045 12/11/18</t>
  </si>
  <si>
    <t>% Aprovação</t>
  </si>
  <si>
    <t>%</t>
  </si>
  <si>
    <t>Geral</t>
  </si>
  <si>
    <t>Sanepar</t>
  </si>
  <si>
    <t>049 10/12/18</t>
  </si>
  <si>
    <t>Conhecimentos Fundamentais em Proteção e Defesa Civil - DPDC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</si>
</sst>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right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right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6" fillId="5" borderId="22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16" fillId="5" borderId="0" xfId="0" applyFont="1" applyFill="1" applyBorder="1" applyAlignment="1">
      <alignment horizontal="center" wrapText="1"/>
    </xf>
    <xf numFmtId="2" fontId="8" fillId="5" borderId="4" xfId="0" applyNumberFormat="1" applyFont="1" applyFill="1" applyBorder="1" applyAlignment="1">
      <alignment horizontal="center" vertical="center" wrapText="1"/>
    </xf>
    <xf numFmtId="2" fontId="8" fillId="5" borderId="23" xfId="0" applyNumberFormat="1" applyFont="1" applyFill="1" applyBorder="1" applyAlignment="1">
      <alignment horizontal="center" vertical="center" wrapText="1"/>
    </xf>
    <xf numFmtId="2" fontId="8" fillId="5" borderId="7" xfId="0" applyNumberFormat="1" applyFont="1" applyFill="1" applyBorder="1" applyAlignment="1">
      <alignment horizontal="center" vertical="center" wrapText="1"/>
    </xf>
    <xf numFmtId="2" fontId="8" fillId="5" borderId="2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thin">
          <color indexed="64"/>
        </horizontal>
      </border>
    </dxf>
  </dxfs>
  <tableStyles count="1" defaultTableStyle="TableStyleMedium2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154781</xdr:colOff>
      <xdr:row>9</xdr:row>
      <xdr:rowOff>273844</xdr:rowOff>
    </xdr:from>
    <xdr:ext cx="184731" cy="264560"/>
    <xdr:sp macro="" textlink="">
      <xdr:nvSpPr>
        <xdr:cNvPr id="2" name="CaixaDeTexto 1"/>
        <xdr:cNvSpPr txBox="1"/>
      </xdr:nvSpPr>
      <xdr:spPr>
        <a:xfrm>
          <a:off x="12799219" y="370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619126</xdr:colOff>
      <xdr:row>0</xdr:row>
      <xdr:rowOff>83343</xdr:rowOff>
    </xdr:from>
    <xdr:to>
      <xdr:col>0</xdr:col>
      <xdr:colOff>2409406</xdr:colOff>
      <xdr:row>0</xdr:row>
      <xdr:rowOff>583406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83343"/>
          <a:ext cx="1790280" cy="500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%20ofertados/CCVE/CCVE%20No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</sheetNames>
    <sheetDataSet>
      <sheetData sheetId="0">
        <row r="234">
          <cell r="A234">
            <v>233</v>
          </cell>
        </row>
        <row r="235">
          <cell r="G235">
            <v>233</v>
          </cell>
          <cell r="H235">
            <v>0</v>
          </cell>
          <cell r="I235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ela2" displayName="Tabela2" ref="A2:W50" totalsRowShown="0" headerRowDxfId="44" dataDxfId="43" headerRowCellStyle="Normal" dataCellStyle="Normal">
  <autoFilter ref="A2:W50"/>
  <sortState ref="A3:W50">
    <sortCondition ref="A2:A50"/>
  </sortState>
  <tableColumns count="23">
    <tableColumn id="5" name="QT" dataDxfId="42"/>
    <tableColumn id="1" name="Curso" dataDxfId="41" dataCellStyle="Normal"/>
    <tableColumn id="27" name="Ano" dataDxfId="40" dataCellStyle="Normal"/>
    <tableColumn id="2" name="Doc" dataDxfId="39" dataCellStyle="Normal"/>
    <tableColumn id="3" name="Encaminhamento" dataDxfId="38" dataCellStyle="Normal"/>
    <tableColumn id="4" name="Publicação Boletim" dataDxfId="37" dataCellStyle="Normal"/>
    <tableColumn id="6" name="Doc2" dataDxfId="36" dataCellStyle="Normal"/>
    <tableColumn id="7" name="Encaminhamento2" dataDxfId="35" dataCellStyle="Normal"/>
    <tableColumn id="8" name="Publicação Boletim 2" dataDxfId="34" dataCellStyle="Normal"/>
    <tableColumn id="10" name="Doc3" dataDxfId="33" dataCellStyle="Normal"/>
    <tableColumn id="11" name="Encaminhamento3" dataDxfId="32" dataCellStyle="Normal"/>
    <tableColumn id="12" name="Publicação Boletim 3" dataDxfId="31" dataCellStyle="Normal"/>
    <tableColumn id="14" name="Doc4" dataDxfId="30" dataCellStyle="Normal"/>
    <tableColumn id="15" name="Encaminhamento4" dataDxfId="29" dataCellStyle="Normal"/>
    <tableColumn id="16" name="Publicação Boletim 4" dataDxfId="28" dataCellStyle="Normal"/>
    <tableColumn id="18" name="Doc5" dataDxfId="27" dataCellStyle="Normal"/>
    <tableColumn id="19" name="Encaminhamento5" dataDxfId="26" dataCellStyle="Normal"/>
    <tableColumn id="20" name="Publicação Boletim 5" dataDxfId="25" dataCellStyle="Normal"/>
    <tableColumn id="22" name="Não é necessário" dataDxfId="24" dataCellStyle="Normal"/>
    <tableColumn id="23" name="Encaminhamento6" dataDxfId="23" dataCellStyle="Normal"/>
    <tableColumn id="24" name="Não é necessário2" dataDxfId="22" dataCellStyle="Normal"/>
    <tableColumn id="25" name="Encaminhamento7" dataDxfId="21" dataCellStyle="Normal"/>
    <tableColumn id="26" name="Pago" dataDxfId="20" dataCellStyle="Normal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2:M50" totalsRowShown="0" headerRowDxfId="19" dataDxfId="18" headerRowCellStyle="Normal" dataCellStyle="Normal">
  <autoFilter ref="A2:M50"/>
  <sortState ref="A3:M50">
    <sortCondition ref="A2:A50"/>
  </sortState>
  <tableColumns count="13">
    <tableColumn id="13" name="QT" dataDxfId="17"/>
    <tableColumn id="1" name="Nome" dataDxfId="16" dataCellStyle="Normal"/>
    <tableColumn id="10" name="Curso" dataDxfId="15">
      <calculatedColumnFormula>'Controle adm. dos cursos'!B3</calculatedColumnFormula>
    </tableColumn>
    <tableColumn id="2" name="Ano" dataDxfId="14" dataCellStyle="Normal">
      <calculatedColumnFormula>'Controle adm. dos cursos'!C3</calculatedColumnFormula>
    </tableColumn>
    <tableColumn id="11" name="Modalidade de Ensino" dataDxfId="13"/>
    <tableColumn id="3" name="Inscritos" dataDxfId="12" dataCellStyle="Normal"/>
    <tableColumn id="4" name="Matriculados" dataDxfId="11" dataCellStyle="Normal"/>
    <tableColumn id="5" name="Formados" dataDxfId="10" dataCellStyle="Normal"/>
    <tableColumn id="12" name="% Aprovação" dataDxfId="0">
      <calculatedColumnFormula>(Tabela3[[#This Row],[Formados]]*100)/Tabela3[[#This Row],[Matriculados]]</calculatedColumnFormula>
    </tableColumn>
    <tableColumn id="6" name="Reprovados" dataDxfId="9" dataCellStyle="Normal"/>
    <tableColumn id="7" name="Desistentes" dataDxfId="8" dataCellStyle="Normal"/>
    <tableColumn id="9" name="Não responderam o 1º questionário" dataDxfId="7"/>
    <tableColumn id="8" name="Nunca acessaram o curso" dataDxfId="6" dataCellStyle="Normal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A1:C20" totalsRowShown="0" headerRowDxfId="5" dataDxfId="4">
  <autoFilter ref="A1:C20"/>
  <tableColumns count="3">
    <tableColumn id="1" name="Número do Protocolo" dataDxfId="3"/>
    <tableColumn id="2" name="Assunto" dataDxfId="2"/>
    <tableColumn id="3" name="Data de criação no CEPED/PR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showGridLines="0" zoomScale="80" zoomScaleNormal="80" workbookViewId="0">
      <pane xSplit="3" ySplit="2" topLeftCell="D33" activePane="bottomRight" state="frozen"/>
      <selection pane="topRight" activeCell="C1" sqref="C1"/>
      <selection pane="bottomLeft" activeCell="A3" sqref="A3"/>
      <selection pane="bottomRight" activeCell="I36" sqref="I36"/>
    </sheetView>
  </sheetViews>
  <sheetFormatPr defaultColWidth="72" defaultRowHeight="15" x14ac:dyDescent="0.25"/>
  <cols>
    <col min="1" max="1" width="10" style="69" bestFit="1" customWidth="1"/>
    <col min="2" max="2" width="65.85546875" style="71" customWidth="1"/>
    <col min="3" max="3" width="11.5703125" style="69" customWidth="1"/>
    <col min="4" max="4" width="10.7109375" style="69" customWidth="1"/>
    <col min="5" max="5" width="45.7109375" style="69" customWidth="1"/>
    <col min="6" max="7" width="10.7109375" style="69" customWidth="1"/>
    <col min="8" max="8" width="40.7109375" style="69" customWidth="1"/>
    <col min="9" max="9" width="10.7109375" style="69" customWidth="1"/>
    <col min="10" max="10" width="12.7109375" style="69" customWidth="1"/>
    <col min="11" max="11" width="40.7109375" style="69" customWidth="1"/>
    <col min="12" max="12" width="10.7109375" style="69" customWidth="1"/>
    <col min="13" max="13" width="12.7109375" style="69" bestFit="1" customWidth="1"/>
    <col min="14" max="14" width="30.5703125" style="69" bestFit="1" customWidth="1"/>
    <col min="15" max="16" width="10.7109375" style="69" customWidth="1"/>
    <col min="17" max="17" width="40.5703125" style="69" customWidth="1"/>
    <col min="18" max="18" width="10.7109375" style="69" customWidth="1"/>
    <col min="19" max="19" width="73.140625" style="69" customWidth="1"/>
    <col min="20" max="20" width="28.85546875" style="69" customWidth="1"/>
    <col min="21" max="21" width="21.5703125" style="69" bestFit="1" customWidth="1"/>
    <col min="22" max="22" width="22.140625" style="69" customWidth="1"/>
    <col min="23" max="23" width="15.7109375" style="69" customWidth="1"/>
    <col min="24" max="16384" width="72" style="69"/>
  </cols>
  <sheetData>
    <row r="1" spans="1:23" s="62" customFormat="1" ht="30" customHeight="1" x14ac:dyDescent="0.25">
      <c r="A1" s="59"/>
      <c r="B1" s="60"/>
      <c r="C1" s="61"/>
      <c r="D1" s="90" t="s">
        <v>1</v>
      </c>
      <c r="E1" s="90"/>
      <c r="F1" s="90"/>
      <c r="G1" s="90" t="s">
        <v>3</v>
      </c>
      <c r="H1" s="90"/>
      <c r="I1" s="90"/>
      <c r="J1" s="90" t="s">
        <v>4</v>
      </c>
      <c r="K1" s="90"/>
      <c r="L1" s="90"/>
      <c r="M1" s="90" t="s">
        <v>5</v>
      </c>
      <c r="N1" s="90"/>
      <c r="O1" s="90"/>
      <c r="P1" s="90" t="s">
        <v>6</v>
      </c>
      <c r="Q1" s="90"/>
      <c r="R1" s="90"/>
      <c r="S1" s="90" t="s">
        <v>7</v>
      </c>
      <c r="T1" s="90"/>
      <c r="U1" s="90" t="s">
        <v>9</v>
      </c>
      <c r="V1" s="90"/>
      <c r="W1" s="90"/>
    </row>
    <row r="2" spans="1:23" s="66" customFormat="1" ht="30" customHeight="1" x14ac:dyDescent="0.25">
      <c r="A2" s="63" t="s">
        <v>139</v>
      </c>
      <c r="B2" s="64" t="s">
        <v>0</v>
      </c>
      <c r="C2" s="65" t="s">
        <v>31</v>
      </c>
      <c r="D2" s="65" t="s">
        <v>211</v>
      </c>
      <c r="E2" s="65" t="s">
        <v>2</v>
      </c>
      <c r="F2" s="65" t="s">
        <v>77</v>
      </c>
      <c r="G2" s="65" t="s">
        <v>212</v>
      </c>
      <c r="H2" s="65" t="s">
        <v>82</v>
      </c>
      <c r="I2" s="65" t="s">
        <v>78</v>
      </c>
      <c r="J2" s="65" t="s">
        <v>213</v>
      </c>
      <c r="K2" s="65" t="s">
        <v>29</v>
      </c>
      <c r="L2" s="65" t="s">
        <v>79</v>
      </c>
      <c r="M2" s="65" t="s">
        <v>210</v>
      </c>
      <c r="N2" s="65" t="s">
        <v>83</v>
      </c>
      <c r="O2" s="65" t="s">
        <v>80</v>
      </c>
      <c r="P2" s="65" t="s">
        <v>214</v>
      </c>
      <c r="Q2" s="65" t="s">
        <v>84</v>
      </c>
      <c r="R2" s="65" t="s">
        <v>81</v>
      </c>
      <c r="S2" s="65" t="s">
        <v>8</v>
      </c>
      <c r="T2" s="65" t="s">
        <v>85</v>
      </c>
      <c r="U2" s="65" t="s">
        <v>86</v>
      </c>
      <c r="V2" s="65" t="s">
        <v>30</v>
      </c>
      <c r="W2" s="65" t="s">
        <v>10</v>
      </c>
    </row>
    <row r="3" spans="1:23" s="68" customFormat="1" ht="45" customHeight="1" x14ac:dyDescent="0.25">
      <c r="A3" s="67">
        <v>1</v>
      </c>
      <c r="B3" s="39" t="s">
        <v>123</v>
      </c>
      <c r="C3" s="67">
        <v>2014</v>
      </c>
      <c r="D3" s="67" t="s">
        <v>32</v>
      </c>
      <c r="E3" s="67" t="s">
        <v>32</v>
      </c>
      <c r="F3" s="67" t="s">
        <v>32</v>
      </c>
      <c r="G3" s="67" t="s">
        <v>32</v>
      </c>
      <c r="H3" s="67" t="s">
        <v>125</v>
      </c>
      <c r="I3" s="67" t="s">
        <v>126</v>
      </c>
      <c r="J3" s="67" t="s">
        <v>32</v>
      </c>
      <c r="K3" s="67" t="s">
        <v>125</v>
      </c>
      <c r="L3" s="67" t="s">
        <v>126</v>
      </c>
      <c r="M3" s="67" t="s">
        <v>32</v>
      </c>
      <c r="N3" s="67" t="s">
        <v>127</v>
      </c>
      <c r="O3" s="67" t="s">
        <v>128</v>
      </c>
      <c r="P3" s="67" t="s">
        <v>32</v>
      </c>
      <c r="Q3" s="67" t="s">
        <v>32</v>
      </c>
      <c r="R3" s="67" t="s">
        <v>32</v>
      </c>
      <c r="S3" s="67" t="s">
        <v>32</v>
      </c>
      <c r="T3" s="67" t="s">
        <v>32</v>
      </c>
      <c r="U3" s="67" t="s">
        <v>32</v>
      </c>
      <c r="V3" s="67" t="s">
        <v>32</v>
      </c>
      <c r="W3" s="67" t="s">
        <v>32</v>
      </c>
    </row>
    <row r="4" spans="1:23" s="68" customFormat="1" ht="45" customHeight="1" x14ac:dyDescent="0.25">
      <c r="A4" s="67">
        <v>2</v>
      </c>
      <c r="B4" s="39" t="s">
        <v>124</v>
      </c>
      <c r="C4" s="67">
        <v>2014</v>
      </c>
      <c r="D4" s="67" t="s">
        <v>32</v>
      </c>
      <c r="E4" s="67" t="s">
        <v>32</v>
      </c>
      <c r="F4" s="67" t="s">
        <v>32</v>
      </c>
      <c r="G4" s="67" t="s">
        <v>129</v>
      </c>
      <c r="H4" s="67" t="s">
        <v>130</v>
      </c>
      <c r="I4" s="67" t="s">
        <v>131</v>
      </c>
      <c r="J4" s="67" t="s">
        <v>129</v>
      </c>
      <c r="K4" s="67" t="s">
        <v>130</v>
      </c>
      <c r="L4" s="67" t="s">
        <v>131</v>
      </c>
      <c r="M4" s="67" t="s">
        <v>132</v>
      </c>
      <c r="N4" s="67" t="s">
        <v>133</v>
      </c>
      <c r="O4" s="67" t="s">
        <v>134</v>
      </c>
      <c r="P4" s="67" t="s">
        <v>32</v>
      </c>
      <c r="Q4" s="67" t="s">
        <v>32</v>
      </c>
      <c r="R4" s="67" t="s">
        <v>32</v>
      </c>
      <c r="S4" s="67" t="s">
        <v>32</v>
      </c>
      <c r="T4" s="67" t="s">
        <v>32</v>
      </c>
      <c r="U4" s="67" t="s">
        <v>32</v>
      </c>
      <c r="V4" s="67" t="s">
        <v>32</v>
      </c>
      <c r="W4" s="67" t="s">
        <v>32</v>
      </c>
    </row>
    <row r="5" spans="1:23" ht="45" customHeight="1" x14ac:dyDescent="0.25">
      <c r="A5" s="67">
        <v>3</v>
      </c>
      <c r="B5" s="39" t="s">
        <v>109</v>
      </c>
      <c r="C5" s="67">
        <v>2014</v>
      </c>
      <c r="D5" s="67" t="s">
        <v>32</v>
      </c>
      <c r="E5" s="67" t="s">
        <v>32</v>
      </c>
      <c r="F5" s="67" t="s">
        <v>32</v>
      </c>
      <c r="G5" s="67" t="s">
        <v>32</v>
      </c>
      <c r="H5" s="67" t="s">
        <v>46</v>
      </c>
      <c r="I5" s="67" t="s">
        <v>32</v>
      </c>
      <c r="J5" s="67" t="s">
        <v>32</v>
      </c>
      <c r="K5" s="67" t="s">
        <v>46</v>
      </c>
      <c r="L5" s="67" t="s">
        <v>111</v>
      </c>
      <c r="M5" s="67" t="s">
        <v>32</v>
      </c>
      <c r="N5" s="67" t="s">
        <v>46</v>
      </c>
      <c r="O5" s="67" t="s">
        <v>32</v>
      </c>
      <c r="P5" s="67" t="s">
        <v>32</v>
      </c>
      <c r="Q5" s="67" t="s">
        <v>32</v>
      </c>
      <c r="R5" s="67" t="s">
        <v>32</v>
      </c>
      <c r="S5" s="67" t="s">
        <v>32</v>
      </c>
      <c r="T5" s="67" t="s">
        <v>32</v>
      </c>
      <c r="U5" s="67" t="s">
        <v>32</v>
      </c>
      <c r="V5" s="67" t="s">
        <v>32</v>
      </c>
      <c r="W5" s="67" t="s">
        <v>32</v>
      </c>
    </row>
    <row r="6" spans="1:23" ht="43.5" customHeight="1" x14ac:dyDescent="0.25">
      <c r="A6" s="67">
        <v>4</v>
      </c>
      <c r="B6" s="39" t="s">
        <v>110</v>
      </c>
      <c r="C6" s="67">
        <v>2014</v>
      </c>
      <c r="D6" s="67" t="s">
        <v>112</v>
      </c>
      <c r="E6" s="67" t="s">
        <v>113</v>
      </c>
      <c r="F6" s="67" t="s">
        <v>114</v>
      </c>
      <c r="G6" s="67" t="s">
        <v>115</v>
      </c>
      <c r="H6" s="67" t="s">
        <v>113</v>
      </c>
      <c r="I6" s="67" t="s">
        <v>114</v>
      </c>
      <c r="J6" s="67" t="s">
        <v>116</v>
      </c>
      <c r="K6" s="67" t="s">
        <v>113</v>
      </c>
      <c r="L6" s="67" t="s">
        <v>117</v>
      </c>
      <c r="M6" s="67" t="s">
        <v>32</v>
      </c>
      <c r="N6" s="67" t="s">
        <v>46</v>
      </c>
      <c r="O6" s="67" t="s">
        <v>118</v>
      </c>
      <c r="P6" s="67" t="s">
        <v>32</v>
      </c>
      <c r="Q6" s="67" t="s">
        <v>32</v>
      </c>
      <c r="R6" s="67" t="s">
        <v>32</v>
      </c>
      <c r="S6" s="67" t="s">
        <v>32</v>
      </c>
      <c r="T6" s="67" t="s">
        <v>32</v>
      </c>
      <c r="U6" s="67" t="s">
        <v>32</v>
      </c>
      <c r="V6" s="67" t="s">
        <v>32</v>
      </c>
      <c r="W6" s="67" t="s">
        <v>32</v>
      </c>
    </row>
    <row r="7" spans="1:23" ht="43.5" customHeight="1" x14ac:dyDescent="0.25">
      <c r="A7" s="67">
        <v>5</v>
      </c>
      <c r="B7" s="39" t="s">
        <v>108</v>
      </c>
      <c r="C7" s="67">
        <v>2015</v>
      </c>
      <c r="D7" s="67" t="s">
        <v>32</v>
      </c>
      <c r="E7" s="67" t="s">
        <v>32</v>
      </c>
      <c r="F7" s="67" t="s">
        <v>32</v>
      </c>
      <c r="G7" s="67" t="s">
        <v>32</v>
      </c>
      <c r="H7" s="67" t="s">
        <v>32</v>
      </c>
      <c r="I7" s="67" t="s">
        <v>32</v>
      </c>
      <c r="J7" s="67" t="s">
        <v>119</v>
      </c>
      <c r="K7" s="67" t="s">
        <v>36</v>
      </c>
      <c r="L7" s="67" t="s">
        <v>120</v>
      </c>
      <c r="M7" s="67" t="s">
        <v>121</v>
      </c>
      <c r="N7" s="67" t="s">
        <v>36</v>
      </c>
      <c r="O7" s="67" t="s">
        <v>122</v>
      </c>
      <c r="P7" s="67" t="s">
        <v>32</v>
      </c>
      <c r="Q7" s="67" t="s">
        <v>32</v>
      </c>
      <c r="R7" s="67" t="s">
        <v>32</v>
      </c>
      <c r="S7" s="67" t="s">
        <v>46</v>
      </c>
      <c r="T7" s="67" t="s">
        <v>32</v>
      </c>
      <c r="U7" s="67" t="s">
        <v>32</v>
      </c>
      <c r="V7" s="67" t="s">
        <v>32</v>
      </c>
      <c r="W7" s="67" t="s">
        <v>32</v>
      </c>
    </row>
    <row r="8" spans="1:23" ht="43.5" customHeight="1" x14ac:dyDescent="0.25">
      <c r="A8" s="67">
        <v>6</v>
      </c>
      <c r="B8" s="4" t="s">
        <v>34</v>
      </c>
      <c r="C8" s="5">
        <v>2015</v>
      </c>
      <c r="D8" s="5" t="s">
        <v>23</v>
      </c>
      <c r="E8" s="5" t="s">
        <v>26</v>
      </c>
      <c r="F8" s="5" t="s">
        <v>32</v>
      </c>
      <c r="G8" s="5" t="s">
        <v>24</v>
      </c>
      <c r="H8" s="5" t="s">
        <v>25</v>
      </c>
      <c r="I8" s="5" t="s">
        <v>32</v>
      </c>
      <c r="J8" s="5" t="s">
        <v>27</v>
      </c>
      <c r="K8" s="5" t="s">
        <v>36</v>
      </c>
      <c r="L8" s="5" t="s">
        <v>52</v>
      </c>
      <c r="M8" s="5" t="s">
        <v>28</v>
      </c>
      <c r="N8" s="5" t="s">
        <v>36</v>
      </c>
      <c r="O8" s="5" t="s">
        <v>53</v>
      </c>
      <c r="P8" s="67" t="s">
        <v>32</v>
      </c>
      <c r="Q8" s="5" t="s">
        <v>32</v>
      </c>
      <c r="R8" s="67" t="s">
        <v>32</v>
      </c>
      <c r="S8" s="67" t="s">
        <v>32</v>
      </c>
      <c r="T8" s="67" t="s">
        <v>32</v>
      </c>
      <c r="U8" s="67" t="s">
        <v>32</v>
      </c>
      <c r="V8" s="67" t="s">
        <v>32</v>
      </c>
      <c r="W8" s="67" t="s">
        <v>32</v>
      </c>
    </row>
    <row r="9" spans="1:23" ht="43.5" customHeight="1" x14ac:dyDescent="0.25">
      <c r="A9" s="67">
        <v>7</v>
      </c>
      <c r="B9" s="39" t="s">
        <v>154</v>
      </c>
      <c r="C9" s="67">
        <v>2016</v>
      </c>
      <c r="D9" s="67" t="s">
        <v>32</v>
      </c>
      <c r="E9" s="67" t="s">
        <v>46</v>
      </c>
      <c r="F9" s="67" t="s">
        <v>32</v>
      </c>
      <c r="G9" s="67" t="s">
        <v>32</v>
      </c>
      <c r="H9" s="67" t="s">
        <v>46</v>
      </c>
      <c r="I9" s="67" t="s">
        <v>32</v>
      </c>
      <c r="J9" s="67" t="s">
        <v>57</v>
      </c>
      <c r="K9" s="67" t="s">
        <v>36</v>
      </c>
      <c r="L9" s="67" t="s">
        <v>58</v>
      </c>
      <c r="M9" s="67" t="s">
        <v>59</v>
      </c>
      <c r="N9" s="67" t="s">
        <v>36</v>
      </c>
      <c r="O9" s="67" t="s">
        <v>60</v>
      </c>
      <c r="P9" s="67" t="s">
        <v>32</v>
      </c>
      <c r="Q9" s="67" t="s">
        <v>32</v>
      </c>
      <c r="R9" s="67" t="s">
        <v>32</v>
      </c>
      <c r="S9" s="67" t="s">
        <v>32</v>
      </c>
      <c r="T9" s="67" t="s">
        <v>32</v>
      </c>
      <c r="U9" s="67" t="s">
        <v>32</v>
      </c>
      <c r="V9" s="67" t="s">
        <v>32</v>
      </c>
      <c r="W9" s="67" t="s">
        <v>32</v>
      </c>
    </row>
    <row r="10" spans="1:23" ht="43.5" customHeight="1" x14ac:dyDescent="0.25">
      <c r="A10" s="67">
        <v>8</v>
      </c>
      <c r="B10" s="39" t="s">
        <v>142</v>
      </c>
      <c r="C10" s="67">
        <v>2016</v>
      </c>
      <c r="D10" s="67" t="s">
        <v>32</v>
      </c>
      <c r="E10" s="67" t="s">
        <v>46</v>
      </c>
      <c r="F10" s="67" t="s">
        <v>32</v>
      </c>
      <c r="G10" s="67" t="s">
        <v>32</v>
      </c>
      <c r="H10" s="67" t="s">
        <v>46</v>
      </c>
      <c r="I10" s="67" t="s">
        <v>32</v>
      </c>
      <c r="J10" s="67" t="s">
        <v>32</v>
      </c>
      <c r="K10" s="67" t="s">
        <v>32</v>
      </c>
      <c r="L10" s="67" t="s">
        <v>32</v>
      </c>
      <c r="M10" s="67" t="s">
        <v>143</v>
      </c>
      <c r="N10" s="67" t="s">
        <v>113</v>
      </c>
      <c r="O10" s="67" t="s">
        <v>144</v>
      </c>
      <c r="P10" s="67" t="s">
        <v>32</v>
      </c>
      <c r="Q10" s="67" t="s">
        <v>32</v>
      </c>
      <c r="R10" s="67" t="s">
        <v>32</v>
      </c>
      <c r="S10" s="67" t="s">
        <v>32</v>
      </c>
      <c r="T10" s="67" t="s">
        <v>32</v>
      </c>
      <c r="U10" s="67" t="s">
        <v>32</v>
      </c>
      <c r="V10" s="67" t="s">
        <v>32</v>
      </c>
      <c r="W10" s="67" t="s">
        <v>32</v>
      </c>
    </row>
    <row r="11" spans="1:23" ht="43.5" customHeight="1" x14ac:dyDescent="0.25">
      <c r="A11" s="67">
        <v>9</v>
      </c>
      <c r="B11" s="39" t="s">
        <v>104</v>
      </c>
      <c r="C11" s="67">
        <v>2016</v>
      </c>
      <c r="D11" s="67" t="s">
        <v>32</v>
      </c>
      <c r="E11" s="67" t="s">
        <v>46</v>
      </c>
      <c r="F11" s="67" t="s">
        <v>32</v>
      </c>
      <c r="G11" s="67" t="s">
        <v>32</v>
      </c>
      <c r="H11" s="67" t="s">
        <v>46</v>
      </c>
      <c r="I11" s="67" t="s">
        <v>32</v>
      </c>
      <c r="J11" s="67" t="s">
        <v>32</v>
      </c>
      <c r="K11" s="67" t="s">
        <v>46</v>
      </c>
      <c r="L11" s="67" t="s">
        <v>32</v>
      </c>
      <c r="M11" s="67" t="s">
        <v>106</v>
      </c>
      <c r="N11" s="67" t="s">
        <v>105</v>
      </c>
      <c r="O11" s="67" t="s">
        <v>107</v>
      </c>
      <c r="P11" s="67" t="s">
        <v>32</v>
      </c>
      <c r="Q11" s="67" t="s">
        <v>32</v>
      </c>
      <c r="R11" s="67" t="s">
        <v>32</v>
      </c>
      <c r="S11" s="67" t="s">
        <v>32</v>
      </c>
      <c r="T11" s="67" t="s">
        <v>32</v>
      </c>
      <c r="U11" s="67" t="s">
        <v>32</v>
      </c>
      <c r="V11" s="67" t="s">
        <v>32</v>
      </c>
      <c r="W11" s="67" t="s">
        <v>32</v>
      </c>
    </row>
    <row r="12" spans="1:23" ht="43.5" customHeight="1" x14ac:dyDescent="0.25">
      <c r="A12" s="67">
        <v>10</v>
      </c>
      <c r="B12" s="4" t="s">
        <v>34</v>
      </c>
      <c r="C12" s="67">
        <v>2016</v>
      </c>
      <c r="D12" s="67" t="s">
        <v>32</v>
      </c>
      <c r="E12" s="67" t="s">
        <v>32</v>
      </c>
      <c r="F12" s="67" t="s">
        <v>32</v>
      </c>
      <c r="G12" s="67" t="s">
        <v>42</v>
      </c>
      <c r="H12" s="67" t="s">
        <v>41</v>
      </c>
      <c r="I12" s="67" t="s">
        <v>32</v>
      </c>
      <c r="J12" s="67" t="s">
        <v>32</v>
      </c>
      <c r="K12" s="67" t="s">
        <v>38</v>
      </c>
      <c r="L12" s="67" t="s">
        <v>32</v>
      </c>
      <c r="M12" s="67" t="s">
        <v>43</v>
      </c>
      <c r="N12" s="5" t="s">
        <v>36</v>
      </c>
      <c r="O12" s="67" t="s">
        <v>54</v>
      </c>
      <c r="P12" s="67" t="s">
        <v>32</v>
      </c>
      <c r="Q12" s="67" t="s">
        <v>25</v>
      </c>
      <c r="R12" s="67" t="s">
        <v>32</v>
      </c>
      <c r="S12" s="67" t="s">
        <v>32</v>
      </c>
      <c r="T12" s="67" t="s">
        <v>32</v>
      </c>
      <c r="U12" s="67" t="s">
        <v>32</v>
      </c>
      <c r="V12" s="67" t="s">
        <v>32</v>
      </c>
      <c r="W12" s="67" t="s">
        <v>32</v>
      </c>
    </row>
    <row r="13" spans="1:23" ht="43.5" customHeight="1" x14ac:dyDescent="0.25">
      <c r="A13" s="67">
        <v>11</v>
      </c>
      <c r="B13" s="4" t="s">
        <v>35</v>
      </c>
      <c r="C13" s="67">
        <v>2016</v>
      </c>
      <c r="D13" s="67" t="s">
        <v>32</v>
      </c>
      <c r="E13" s="67" t="s">
        <v>32</v>
      </c>
      <c r="F13" s="67" t="s">
        <v>32</v>
      </c>
      <c r="G13" s="67" t="s">
        <v>32</v>
      </c>
      <c r="H13" s="67" t="s">
        <v>38</v>
      </c>
      <c r="I13" s="5" t="s">
        <v>32</v>
      </c>
      <c r="J13" s="67" t="s">
        <v>32</v>
      </c>
      <c r="K13" s="67" t="s">
        <v>38</v>
      </c>
      <c r="L13" s="67" t="s">
        <v>32</v>
      </c>
      <c r="M13" s="67" t="s">
        <v>39</v>
      </c>
      <c r="N13" s="5" t="s">
        <v>40</v>
      </c>
      <c r="O13" s="67"/>
      <c r="P13" s="67" t="s">
        <v>32</v>
      </c>
      <c r="Q13" s="67" t="s">
        <v>32</v>
      </c>
      <c r="R13" s="67" t="s">
        <v>32</v>
      </c>
      <c r="S13" s="67" t="s">
        <v>32</v>
      </c>
      <c r="T13" s="67" t="s">
        <v>32</v>
      </c>
      <c r="U13" s="67" t="s">
        <v>32</v>
      </c>
      <c r="V13" s="67" t="s">
        <v>32</v>
      </c>
      <c r="W13" s="67" t="s">
        <v>32</v>
      </c>
    </row>
    <row r="14" spans="1:23" ht="43.5" customHeight="1" x14ac:dyDescent="0.25">
      <c r="A14" s="67">
        <v>12</v>
      </c>
      <c r="B14" s="39" t="s">
        <v>153</v>
      </c>
      <c r="C14" s="67">
        <v>2017</v>
      </c>
      <c r="D14" s="67" t="s">
        <v>32</v>
      </c>
      <c r="E14" s="67" t="s">
        <v>32</v>
      </c>
      <c r="F14" s="67" t="s">
        <v>32</v>
      </c>
      <c r="G14" s="67" t="s">
        <v>61</v>
      </c>
      <c r="H14" s="67" t="s">
        <v>36</v>
      </c>
      <c r="I14" s="67" t="s">
        <v>62</v>
      </c>
      <c r="J14" s="67" t="s">
        <v>63</v>
      </c>
      <c r="K14" s="67" t="s">
        <v>155</v>
      </c>
      <c r="L14" s="67" t="s">
        <v>64</v>
      </c>
      <c r="M14" s="67" t="s">
        <v>63</v>
      </c>
      <c r="N14" s="67" t="s">
        <v>155</v>
      </c>
      <c r="O14" s="67" t="s">
        <v>64</v>
      </c>
      <c r="P14" s="67" t="s">
        <v>32</v>
      </c>
      <c r="Q14" s="67" t="s">
        <v>32</v>
      </c>
      <c r="R14" s="67" t="s">
        <v>32</v>
      </c>
      <c r="S14" s="67" t="s">
        <v>32</v>
      </c>
      <c r="T14" s="67" t="s">
        <v>32</v>
      </c>
      <c r="U14" s="67" t="s">
        <v>32</v>
      </c>
      <c r="V14" s="67" t="s">
        <v>32</v>
      </c>
      <c r="W14" s="67" t="s">
        <v>32</v>
      </c>
    </row>
    <row r="15" spans="1:23" ht="43.5" customHeight="1" x14ac:dyDescent="0.25">
      <c r="A15" s="67">
        <v>13</v>
      </c>
      <c r="B15" s="39" t="s">
        <v>92</v>
      </c>
      <c r="C15" s="67">
        <v>2017</v>
      </c>
      <c r="D15" s="67" t="s">
        <v>32</v>
      </c>
      <c r="E15" s="67" t="s">
        <v>32</v>
      </c>
      <c r="F15" s="67" t="s">
        <v>32</v>
      </c>
      <c r="G15" s="67" t="s">
        <v>32</v>
      </c>
      <c r="H15" s="67" t="s">
        <v>46</v>
      </c>
      <c r="I15" s="67" t="s">
        <v>32</v>
      </c>
      <c r="J15" s="67" t="s">
        <v>32</v>
      </c>
      <c r="K15" s="67" t="s">
        <v>46</v>
      </c>
      <c r="L15" s="67" t="s">
        <v>32</v>
      </c>
      <c r="M15" s="67" t="s">
        <v>90</v>
      </c>
      <c r="N15" s="67" t="s">
        <v>36</v>
      </c>
      <c r="O15" s="67" t="s">
        <v>91</v>
      </c>
      <c r="P15" s="67" t="s">
        <v>32</v>
      </c>
      <c r="Q15" s="67" t="s">
        <v>32</v>
      </c>
      <c r="R15" s="67" t="s">
        <v>32</v>
      </c>
      <c r="S15" s="67" t="s">
        <v>32</v>
      </c>
      <c r="T15" s="67" t="s">
        <v>32</v>
      </c>
      <c r="U15" s="67" t="s">
        <v>32</v>
      </c>
      <c r="V15" s="67" t="s">
        <v>32</v>
      </c>
      <c r="W15" s="67" t="s">
        <v>32</v>
      </c>
    </row>
    <row r="16" spans="1:23" ht="43.5" customHeight="1" x14ac:dyDescent="0.25">
      <c r="A16" s="67">
        <v>14</v>
      </c>
      <c r="B16" s="39" t="s">
        <v>93</v>
      </c>
      <c r="C16" s="67">
        <v>2017</v>
      </c>
      <c r="D16" s="67" t="s">
        <v>32</v>
      </c>
      <c r="E16" s="67" t="s">
        <v>32</v>
      </c>
      <c r="F16" s="67" t="s">
        <v>32</v>
      </c>
      <c r="G16" s="67" t="s">
        <v>95</v>
      </c>
      <c r="H16" s="67" t="s">
        <v>96</v>
      </c>
      <c r="I16" s="67" t="s">
        <v>32</v>
      </c>
      <c r="J16" s="67" t="s">
        <v>32</v>
      </c>
      <c r="K16" s="67" t="s">
        <v>46</v>
      </c>
      <c r="L16" s="67" t="s">
        <v>97</v>
      </c>
      <c r="M16" s="67" t="s">
        <v>98</v>
      </c>
      <c r="N16" s="67" t="s">
        <v>99</v>
      </c>
      <c r="O16" s="67" t="s">
        <v>100</v>
      </c>
      <c r="P16" s="67" t="s">
        <v>32</v>
      </c>
      <c r="Q16" s="67" t="s">
        <v>32</v>
      </c>
      <c r="R16" s="67" t="s">
        <v>32</v>
      </c>
      <c r="S16" s="67" t="s">
        <v>32</v>
      </c>
      <c r="T16" s="67" t="s">
        <v>32</v>
      </c>
      <c r="U16" s="67" t="s">
        <v>32</v>
      </c>
      <c r="V16" s="67" t="s">
        <v>32</v>
      </c>
      <c r="W16" s="67" t="s">
        <v>32</v>
      </c>
    </row>
    <row r="17" spans="1:23" ht="43.5" customHeight="1" x14ac:dyDescent="0.25">
      <c r="A17" s="67">
        <v>15</v>
      </c>
      <c r="B17" s="39" t="s">
        <v>94</v>
      </c>
      <c r="C17" s="67">
        <v>2017</v>
      </c>
      <c r="D17" s="67" t="s">
        <v>32</v>
      </c>
      <c r="E17" s="67" t="s">
        <v>32</v>
      </c>
      <c r="F17" s="67" t="s">
        <v>32</v>
      </c>
      <c r="G17" s="67" t="s">
        <v>101</v>
      </c>
      <c r="H17" s="67" t="s">
        <v>99</v>
      </c>
      <c r="I17" s="67" t="s">
        <v>102</v>
      </c>
      <c r="J17" s="67" t="s">
        <v>103</v>
      </c>
      <c r="K17" s="67" t="s">
        <v>99</v>
      </c>
      <c r="L17" s="67" t="s">
        <v>102</v>
      </c>
      <c r="M17" s="67" t="s">
        <v>32</v>
      </c>
      <c r="N17" s="67" t="s">
        <v>46</v>
      </c>
      <c r="O17" s="67" t="s">
        <v>32</v>
      </c>
      <c r="P17" s="67" t="s">
        <v>32</v>
      </c>
      <c r="Q17" s="67" t="s">
        <v>32</v>
      </c>
      <c r="R17" s="67" t="s">
        <v>32</v>
      </c>
      <c r="S17" s="67" t="s">
        <v>32</v>
      </c>
      <c r="T17" s="67" t="s">
        <v>32</v>
      </c>
      <c r="U17" s="67" t="s">
        <v>32</v>
      </c>
      <c r="V17" s="67" t="s">
        <v>32</v>
      </c>
      <c r="W17" s="67" t="s">
        <v>32</v>
      </c>
    </row>
    <row r="18" spans="1:23" ht="43.5" customHeight="1" x14ac:dyDescent="0.25">
      <c r="A18" s="67">
        <v>16</v>
      </c>
      <c r="B18" s="39" t="s">
        <v>65</v>
      </c>
      <c r="C18" s="67">
        <v>2017</v>
      </c>
      <c r="D18" s="67" t="s">
        <v>66</v>
      </c>
      <c r="E18" s="67" t="s">
        <v>36</v>
      </c>
      <c r="F18" s="67" t="s">
        <v>67</v>
      </c>
      <c r="G18" s="67" t="s">
        <v>32</v>
      </c>
      <c r="H18" s="67" t="s">
        <v>32</v>
      </c>
      <c r="I18" s="67" t="s">
        <v>32</v>
      </c>
      <c r="J18" s="67" t="s">
        <v>68</v>
      </c>
      <c r="K18" s="67" t="s">
        <v>36</v>
      </c>
      <c r="L18" s="67" t="s">
        <v>69</v>
      </c>
      <c r="M18" s="67" t="s">
        <v>70</v>
      </c>
      <c r="N18" s="67" t="s">
        <v>36</v>
      </c>
      <c r="O18" s="67" t="s">
        <v>71</v>
      </c>
      <c r="P18" s="67" t="s">
        <v>32</v>
      </c>
      <c r="Q18" s="67" t="s">
        <v>32</v>
      </c>
      <c r="R18" s="67" t="s">
        <v>32</v>
      </c>
      <c r="S18" s="67" t="s">
        <v>32</v>
      </c>
      <c r="T18" s="67" t="s">
        <v>32</v>
      </c>
      <c r="U18" s="67" t="s">
        <v>32</v>
      </c>
      <c r="V18" s="67" t="s">
        <v>32</v>
      </c>
      <c r="W18" s="67" t="s">
        <v>32</v>
      </c>
    </row>
    <row r="19" spans="1:23" ht="43.5" customHeight="1" x14ac:dyDescent="0.25">
      <c r="A19" s="67">
        <v>17</v>
      </c>
      <c r="B19" s="39" t="s">
        <v>11</v>
      </c>
      <c r="C19" s="67">
        <v>2017</v>
      </c>
      <c r="D19" s="67" t="s">
        <v>32</v>
      </c>
      <c r="E19" s="67" t="s">
        <v>32</v>
      </c>
      <c r="F19" s="67" t="s">
        <v>32</v>
      </c>
      <c r="G19" s="67" t="s">
        <v>72</v>
      </c>
      <c r="H19" s="67" t="s">
        <v>36</v>
      </c>
      <c r="I19" s="67" t="s">
        <v>73</v>
      </c>
      <c r="J19" s="67" t="s">
        <v>74</v>
      </c>
      <c r="K19" s="67" t="s">
        <v>36</v>
      </c>
      <c r="L19" s="67" t="s">
        <v>75</v>
      </c>
      <c r="M19" s="67" t="s">
        <v>76</v>
      </c>
      <c r="N19" s="67" t="s">
        <v>36</v>
      </c>
      <c r="O19" s="67" t="s">
        <v>51</v>
      </c>
      <c r="P19" s="67" t="s">
        <v>32</v>
      </c>
      <c r="Q19" s="67" t="s">
        <v>32</v>
      </c>
      <c r="R19" s="67" t="s">
        <v>32</v>
      </c>
      <c r="S19" s="67" t="s">
        <v>32</v>
      </c>
      <c r="T19" s="67" t="s">
        <v>32</v>
      </c>
      <c r="U19" s="67" t="s">
        <v>32</v>
      </c>
      <c r="V19" s="67" t="s">
        <v>32</v>
      </c>
      <c r="W19" s="67" t="s">
        <v>32</v>
      </c>
    </row>
    <row r="20" spans="1:23" ht="43.5" customHeight="1" x14ac:dyDescent="0.25">
      <c r="A20" s="67">
        <v>18</v>
      </c>
      <c r="B20" s="4" t="s">
        <v>44</v>
      </c>
      <c r="C20" s="67">
        <v>2017</v>
      </c>
      <c r="D20" s="67" t="s">
        <v>32</v>
      </c>
      <c r="E20" s="67" t="s">
        <v>32</v>
      </c>
      <c r="F20" s="67" t="s">
        <v>32</v>
      </c>
      <c r="G20" s="67" t="s">
        <v>32</v>
      </c>
      <c r="H20" s="67" t="s">
        <v>38</v>
      </c>
      <c r="I20" s="67" t="s">
        <v>32</v>
      </c>
      <c r="J20" s="67" t="s">
        <v>47</v>
      </c>
      <c r="K20" s="67" t="s">
        <v>36</v>
      </c>
      <c r="L20" s="67" t="s">
        <v>51</v>
      </c>
      <c r="M20" s="67" t="s">
        <v>48</v>
      </c>
      <c r="N20" s="5" t="s">
        <v>36</v>
      </c>
      <c r="O20" s="67" t="s">
        <v>55</v>
      </c>
      <c r="P20" s="67" t="s">
        <v>32</v>
      </c>
      <c r="Q20" s="67" t="s">
        <v>32</v>
      </c>
      <c r="R20" s="67" t="s">
        <v>32</v>
      </c>
      <c r="S20" s="67" t="s">
        <v>32</v>
      </c>
      <c r="T20" s="67" t="s">
        <v>32</v>
      </c>
      <c r="U20" s="67" t="s">
        <v>32</v>
      </c>
      <c r="V20" s="67" t="s">
        <v>32</v>
      </c>
      <c r="W20" s="67" t="s">
        <v>32</v>
      </c>
    </row>
    <row r="21" spans="1:23" ht="43.5" customHeight="1" x14ac:dyDescent="0.25">
      <c r="A21" s="67">
        <v>19</v>
      </c>
      <c r="B21" s="4" t="s">
        <v>45</v>
      </c>
      <c r="C21" s="67">
        <v>2017</v>
      </c>
      <c r="D21" s="67" t="s">
        <v>32</v>
      </c>
      <c r="E21" s="67" t="s">
        <v>32</v>
      </c>
      <c r="F21" s="67" t="s">
        <v>32</v>
      </c>
      <c r="G21" s="67" t="s">
        <v>49</v>
      </c>
      <c r="H21" s="67" t="s">
        <v>36</v>
      </c>
      <c r="I21" s="67" t="s">
        <v>50</v>
      </c>
      <c r="J21" s="67" t="s">
        <v>49</v>
      </c>
      <c r="K21" s="67" t="s">
        <v>36</v>
      </c>
      <c r="L21" s="67" t="s">
        <v>50</v>
      </c>
      <c r="M21" s="67"/>
      <c r="N21" s="67" t="s">
        <v>38</v>
      </c>
      <c r="O21" s="67"/>
      <c r="P21" s="67" t="s">
        <v>32</v>
      </c>
      <c r="Q21" s="67" t="s">
        <v>46</v>
      </c>
      <c r="R21" s="67" t="s">
        <v>32</v>
      </c>
      <c r="S21" s="67" t="s">
        <v>32</v>
      </c>
      <c r="T21" s="67" t="s">
        <v>32</v>
      </c>
      <c r="U21" s="67" t="s">
        <v>32</v>
      </c>
      <c r="V21" s="67" t="s">
        <v>32</v>
      </c>
      <c r="W21" s="67" t="s">
        <v>32</v>
      </c>
    </row>
    <row r="22" spans="1:23" ht="45" customHeight="1" x14ac:dyDescent="0.25">
      <c r="A22" s="67">
        <v>20</v>
      </c>
      <c r="B22" s="39" t="s">
        <v>149</v>
      </c>
      <c r="C22" s="67">
        <v>2017</v>
      </c>
      <c r="D22" s="67" t="s">
        <v>32</v>
      </c>
      <c r="E22" s="67" t="s">
        <v>46</v>
      </c>
      <c r="F22" s="67" t="s">
        <v>32</v>
      </c>
      <c r="G22" s="67" t="s">
        <v>32</v>
      </c>
      <c r="H22" s="67" t="s">
        <v>46</v>
      </c>
      <c r="I22" s="67" t="s">
        <v>32</v>
      </c>
      <c r="J22" s="5" t="s">
        <v>150</v>
      </c>
      <c r="K22" s="67" t="s">
        <v>99</v>
      </c>
      <c r="L22" s="67" t="s">
        <v>151</v>
      </c>
      <c r="M22" s="67" t="s">
        <v>152</v>
      </c>
      <c r="N22" s="67" t="s">
        <v>36</v>
      </c>
      <c r="O22" s="67" t="s">
        <v>50</v>
      </c>
      <c r="P22" s="67" t="s">
        <v>32</v>
      </c>
      <c r="Q22" s="67" t="s">
        <v>32</v>
      </c>
      <c r="R22" s="67" t="s">
        <v>32</v>
      </c>
      <c r="S22" s="67" t="s">
        <v>32</v>
      </c>
      <c r="T22" s="67" t="s">
        <v>32</v>
      </c>
      <c r="U22" s="67" t="s">
        <v>32</v>
      </c>
      <c r="V22" s="67" t="s">
        <v>32</v>
      </c>
      <c r="W22" s="67" t="s">
        <v>32</v>
      </c>
    </row>
    <row r="23" spans="1:23" ht="45" customHeight="1" x14ac:dyDescent="0.25">
      <c r="A23" s="67">
        <v>21</v>
      </c>
      <c r="B23" s="39" t="s">
        <v>162</v>
      </c>
      <c r="C23" s="67">
        <v>2017</v>
      </c>
      <c r="D23" s="67" t="s">
        <v>32</v>
      </c>
      <c r="E23" s="67" t="s">
        <v>46</v>
      </c>
      <c r="F23" s="67" t="s">
        <v>32</v>
      </c>
      <c r="G23" s="67" t="s">
        <v>32</v>
      </c>
      <c r="H23" s="67" t="s">
        <v>46</v>
      </c>
      <c r="I23" s="67" t="s">
        <v>32</v>
      </c>
      <c r="J23" s="5" t="s">
        <v>166</v>
      </c>
      <c r="K23" s="67" t="s">
        <v>36</v>
      </c>
      <c r="L23" s="67" t="s">
        <v>64</v>
      </c>
      <c r="M23" s="67" t="s">
        <v>167</v>
      </c>
      <c r="N23" s="67" t="s">
        <v>155</v>
      </c>
      <c r="O23" s="67" t="s">
        <v>64</v>
      </c>
      <c r="P23" s="67" t="s">
        <v>32</v>
      </c>
      <c r="Q23" s="67" t="s">
        <v>46</v>
      </c>
      <c r="R23" s="67" t="s">
        <v>32</v>
      </c>
      <c r="S23" s="67"/>
      <c r="T23" s="67"/>
      <c r="U23" s="67"/>
      <c r="V23" s="67"/>
      <c r="W23" s="67"/>
    </row>
    <row r="24" spans="1:23" ht="45" customHeight="1" x14ac:dyDescent="0.25">
      <c r="A24" s="67">
        <v>22</v>
      </c>
      <c r="B24" s="39" t="s">
        <v>163</v>
      </c>
      <c r="C24" s="67">
        <v>2017</v>
      </c>
      <c r="D24" s="67" t="s">
        <v>32</v>
      </c>
      <c r="E24" s="67" t="s">
        <v>46</v>
      </c>
      <c r="F24" s="67" t="s">
        <v>32</v>
      </c>
      <c r="G24" s="67" t="s">
        <v>32</v>
      </c>
      <c r="H24" s="67" t="s">
        <v>46</v>
      </c>
      <c r="I24" s="67" t="s">
        <v>32</v>
      </c>
      <c r="J24" s="5" t="s">
        <v>168</v>
      </c>
      <c r="K24" s="67" t="s">
        <v>36</v>
      </c>
      <c r="L24" s="67" t="s">
        <v>50</v>
      </c>
      <c r="M24" s="67" t="s">
        <v>169</v>
      </c>
      <c r="N24" s="67" t="s">
        <v>99</v>
      </c>
      <c r="O24" s="67" t="s">
        <v>50</v>
      </c>
      <c r="P24" s="67" t="s">
        <v>32</v>
      </c>
      <c r="Q24" s="67" t="s">
        <v>46</v>
      </c>
      <c r="R24" s="67" t="s">
        <v>32</v>
      </c>
      <c r="S24" s="67"/>
      <c r="T24" s="67"/>
      <c r="U24" s="67"/>
      <c r="V24" s="67"/>
      <c r="W24" s="67"/>
    </row>
    <row r="25" spans="1:23" ht="45" customHeight="1" x14ac:dyDescent="0.25">
      <c r="A25" s="67">
        <v>23</v>
      </c>
      <c r="B25" s="39" t="s">
        <v>164</v>
      </c>
      <c r="C25" s="67">
        <v>2017</v>
      </c>
      <c r="D25" s="67" t="s">
        <v>32</v>
      </c>
      <c r="E25" s="67" t="s">
        <v>46</v>
      </c>
      <c r="F25" s="67" t="s">
        <v>32</v>
      </c>
      <c r="G25" s="67" t="s">
        <v>32</v>
      </c>
      <c r="H25" s="67" t="s">
        <v>46</v>
      </c>
      <c r="I25" s="67" t="s">
        <v>32</v>
      </c>
      <c r="J25" s="5" t="s">
        <v>170</v>
      </c>
      <c r="K25" s="67" t="s">
        <v>99</v>
      </c>
      <c r="L25" s="67" t="s">
        <v>50</v>
      </c>
      <c r="M25" s="67" t="s">
        <v>171</v>
      </c>
      <c r="N25" s="67" t="s">
        <v>36</v>
      </c>
      <c r="O25" s="67" t="s">
        <v>172</v>
      </c>
      <c r="P25" s="67" t="s">
        <v>32</v>
      </c>
      <c r="Q25" s="67" t="s">
        <v>46</v>
      </c>
      <c r="R25" s="67" t="s">
        <v>32</v>
      </c>
      <c r="S25" s="67"/>
      <c r="T25" s="67"/>
      <c r="U25" s="67"/>
      <c r="V25" s="67"/>
      <c r="W25" s="67"/>
    </row>
    <row r="26" spans="1:23" ht="45" customHeight="1" x14ac:dyDescent="0.25">
      <c r="A26" s="67">
        <v>24</v>
      </c>
      <c r="B26" s="39" t="s">
        <v>165</v>
      </c>
      <c r="C26" s="67">
        <v>2017</v>
      </c>
      <c r="D26" s="67" t="s">
        <v>32</v>
      </c>
      <c r="E26" s="67" t="s">
        <v>46</v>
      </c>
      <c r="F26" s="67" t="s">
        <v>32</v>
      </c>
      <c r="G26" s="67" t="s">
        <v>32</v>
      </c>
      <c r="H26" s="67" t="s">
        <v>46</v>
      </c>
      <c r="I26" s="67" t="s">
        <v>32</v>
      </c>
      <c r="J26" s="5" t="s">
        <v>173</v>
      </c>
      <c r="K26" s="67" t="s">
        <v>36</v>
      </c>
      <c r="L26" s="67" t="s">
        <v>172</v>
      </c>
      <c r="M26" s="67"/>
      <c r="N26" s="67" t="s">
        <v>174</v>
      </c>
      <c r="O26" s="67"/>
      <c r="P26" s="67" t="s">
        <v>32</v>
      </c>
      <c r="Q26" s="67" t="s">
        <v>46</v>
      </c>
      <c r="R26" s="67" t="s">
        <v>32</v>
      </c>
      <c r="S26" s="67"/>
      <c r="T26" s="67"/>
      <c r="U26" s="67"/>
      <c r="V26" s="67"/>
      <c r="W26" s="67"/>
    </row>
    <row r="27" spans="1:23" ht="45" customHeight="1" x14ac:dyDescent="0.25">
      <c r="A27" s="67">
        <v>25</v>
      </c>
      <c r="B27" s="4" t="s">
        <v>33</v>
      </c>
      <c r="C27" s="5">
        <v>2018</v>
      </c>
      <c r="D27" s="5" t="s">
        <v>32</v>
      </c>
      <c r="E27" s="5" t="s">
        <v>32</v>
      </c>
      <c r="F27" s="5" t="s">
        <v>32</v>
      </c>
      <c r="G27" s="5" t="s">
        <v>20</v>
      </c>
      <c r="H27" s="5" t="s">
        <v>136</v>
      </c>
      <c r="I27" s="5" t="s">
        <v>32</v>
      </c>
      <c r="J27" s="5" t="s">
        <v>147</v>
      </c>
      <c r="K27" s="5" t="s">
        <v>37</v>
      </c>
      <c r="L27" s="5" t="s">
        <v>135</v>
      </c>
      <c r="M27" s="5" t="s">
        <v>148</v>
      </c>
      <c r="N27" s="5" t="s">
        <v>156</v>
      </c>
      <c r="O27" s="5" t="s">
        <v>159</v>
      </c>
      <c r="P27" s="5" t="s">
        <v>32</v>
      </c>
      <c r="Q27" s="5" t="s">
        <v>46</v>
      </c>
      <c r="R27" s="5" t="s">
        <v>32</v>
      </c>
      <c r="S27" s="5"/>
      <c r="T27" s="5"/>
      <c r="U27" s="5"/>
      <c r="V27" s="5"/>
      <c r="W27" s="67"/>
    </row>
    <row r="28" spans="1:23" ht="45" customHeight="1" x14ac:dyDescent="0.25">
      <c r="A28" s="67">
        <v>26</v>
      </c>
      <c r="B28" s="4" t="s">
        <v>22</v>
      </c>
      <c r="C28" s="5">
        <v>2018</v>
      </c>
      <c r="D28" s="5" t="s">
        <v>87</v>
      </c>
      <c r="E28" s="5" t="s">
        <v>89</v>
      </c>
      <c r="F28" s="5" t="s">
        <v>32</v>
      </c>
      <c r="G28" s="5" t="s">
        <v>88</v>
      </c>
      <c r="H28" s="5" t="s">
        <v>89</v>
      </c>
      <c r="I28" s="5" t="s">
        <v>32</v>
      </c>
      <c r="J28" s="5" t="s">
        <v>146</v>
      </c>
      <c r="K28" s="5" t="s">
        <v>37</v>
      </c>
      <c r="L28" s="5" t="s">
        <v>159</v>
      </c>
      <c r="M28" s="5" t="s">
        <v>157</v>
      </c>
      <c r="N28" s="5" t="s">
        <v>156</v>
      </c>
      <c r="O28" s="5" t="s">
        <v>158</v>
      </c>
      <c r="P28" s="5" t="s">
        <v>32</v>
      </c>
      <c r="Q28" s="5" t="s">
        <v>46</v>
      </c>
      <c r="R28" s="5" t="s">
        <v>32</v>
      </c>
      <c r="S28" s="5"/>
      <c r="T28" s="5"/>
      <c r="U28" s="5"/>
      <c r="V28" s="5"/>
      <c r="W28" s="67"/>
    </row>
    <row r="29" spans="1:23" ht="45" customHeight="1" x14ac:dyDescent="0.25">
      <c r="A29" s="67">
        <v>27</v>
      </c>
      <c r="B29" s="39" t="s">
        <v>154</v>
      </c>
      <c r="C29" s="5">
        <v>2018</v>
      </c>
      <c r="D29" s="67" t="s">
        <v>32</v>
      </c>
      <c r="E29" s="67" t="s">
        <v>46</v>
      </c>
      <c r="F29" s="67" t="s">
        <v>32</v>
      </c>
      <c r="G29" s="67" t="s">
        <v>32</v>
      </c>
      <c r="H29" s="67" t="s">
        <v>46</v>
      </c>
      <c r="I29" s="5" t="s">
        <v>32</v>
      </c>
      <c r="J29" s="5" t="s">
        <v>206</v>
      </c>
      <c r="K29" s="5" t="s">
        <v>208</v>
      </c>
      <c r="L29" s="67" t="s">
        <v>209</v>
      </c>
      <c r="M29" s="67" t="s">
        <v>221</v>
      </c>
      <c r="N29" s="67" t="s">
        <v>216</v>
      </c>
      <c r="O29" s="5" t="s">
        <v>230</v>
      </c>
      <c r="P29" s="67"/>
      <c r="Q29" s="67"/>
      <c r="R29" s="67"/>
      <c r="S29" s="67"/>
      <c r="T29" s="67"/>
      <c r="U29" s="67"/>
      <c r="V29" s="67"/>
      <c r="W29" s="67"/>
    </row>
    <row r="30" spans="1:23" ht="45" customHeight="1" x14ac:dyDescent="0.25">
      <c r="A30" s="67">
        <v>28</v>
      </c>
      <c r="B30" s="39" t="s">
        <v>92</v>
      </c>
      <c r="C30" s="5">
        <v>2018</v>
      </c>
      <c r="D30" s="67" t="s">
        <v>32</v>
      </c>
      <c r="E30" s="67" t="s">
        <v>46</v>
      </c>
      <c r="F30" s="67" t="s">
        <v>32</v>
      </c>
      <c r="G30" s="67" t="s">
        <v>32</v>
      </c>
      <c r="H30" s="67" t="s">
        <v>46</v>
      </c>
      <c r="I30" s="5" t="s">
        <v>32</v>
      </c>
      <c r="J30" s="5" t="s">
        <v>207</v>
      </c>
      <c r="K30" s="5" t="s">
        <v>208</v>
      </c>
      <c r="L30" s="67" t="s">
        <v>223</v>
      </c>
      <c r="M30" s="67" t="s">
        <v>215</v>
      </c>
      <c r="N30" s="67" t="s">
        <v>216</v>
      </c>
      <c r="O30" s="67" t="s">
        <v>230</v>
      </c>
      <c r="P30" s="67" t="s">
        <v>32</v>
      </c>
      <c r="Q30" s="67" t="s">
        <v>46</v>
      </c>
      <c r="R30" s="67" t="s">
        <v>32</v>
      </c>
      <c r="S30" s="67"/>
      <c r="T30" s="67"/>
      <c r="U30" s="67"/>
      <c r="V30" s="67"/>
      <c r="W30" s="67"/>
    </row>
    <row r="31" spans="1:23" ht="45" customHeight="1" x14ac:dyDescent="0.25">
      <c r="A31" s="67">
        <v>29</v>
      </c>
      <c r="B31" s="39" t="s">
        <v>218</v>
      </c>
      <c r="C31" s="5">
        <v>2018</v>
      </c>
      <c r="D31" s="67"/>
      <c r="E31" s="67"/>
      <c r="F31" s="67"/>
      <c r="G31" s="67" t="s">
        <v>32</v>
      </c>
      <c r="H31" s="67" t="s">
        <v>46</v>
      </c>
      <c r="I31" s="5" t="s">
        <v>32</v>
      </c>
      <c r="J31" s="67" t="s">
        <v>217</v>
      </c>
      <c r="K31" s="5" t="s">
        <v>216</v>
      </c>
      <c r="L31" s="67" t="s">
        <v>230</v>
      </c>
      <c r="M31" s="67" t="s">
        <v>222</v>
      </c>
      <c r="N31" s="67" t="s">
        <v>216</v>
      </c>
      <c r="O31" s="67"/>
      <c r="P31" s="67"/>
      <c r="Q31" s="67"/>
      <c r="R31" s="67"/>
      <c r="S31" s="67"/>
      <c r="T31" s="67"/>
      <c r="U31" s="67"/>
      <c r="V31" s="67"/>
      <c r="W31" s="67"/>
    </row>
    <row r="32" spans="1:23" ht="45" customHeight="1" x14ac:dyDescent="0.25">
      <c r="A32" s="67">
        <v>30</v>
      </c>
      <c r="B32" s="39" t="s">
        <v>224</v>
      </c>
      <c r="C32" s="5">
        <v>2018</v>
      </c>
      <c r="D32" s="67" t="s">
        <v>32</v>
      </c>
      <c r="E32" s="67" t="s">
        <v>46</v>
      </c>
      <c r="F32" s="67" t="s">
        <v>32</v>
      </c>
      <c r="G32" s="67" t="s">
        <v>32</v>
      </c>
      <c r="H32" s="67" t="s">
        <v>46</v>
      </c>
      <c r="I32" s="5" t="s">
        <v>32</v>
      </c>
      <c r="J32" s="67" t="s">
        <v>227</v>
      </c>
      <c r="K32" s="5" t="s">
        <v>216</v>
      </c>
      <c r="L32" s="67"/>
      <c r="M32" s="67" t="s">
        <v>229</v>
      </c>
      <c r="N32" s="67" t="s">
        <v>216</v>
      </c>
      <c r="O32" s="67"/>
      <c r="P32" s="67"/>
      <c r="Q32" s="67"/>
      <c r="R32" s="67"/>
      <c r="S32" s="67"/>
      <c r="T32" s="67"/>
      <c r="U32" s="67"/>
      <c r="V32" s="67"/>
      <c r="W32" s="67"/>
    </row>
    <row r="33" spans="1:23" ht="45" customHeight="1" x14ac:dyDescent="0.25">
      <c r="A33" s="67">
        <v>31</v>
      </c>
      <c r="B33" s="39" t="s">
        <v>226</v>
      </c>
      <c r="C33" s="5">
        <v>2018</v>
      </c>
      <c r="D33" s="67" t="s">
        <v>32</v>
      </c>
      <c r="E33" s="67" t="s">
        <v>46</v>
      </c>
      <c r="F33" s="67" t="s">
        <v>32</v>
      </c>
      <c r="G33" s="67" t="s">
        <v>32</v>
      </c>
      <c r="H33" s="67" t="s">
        <v>46</v>
      </c>
      <c r="I33" s="5" t="s">
        <v>32</v>
      </c>
      <c r="J33" s="67" t="s">
        <v>228</v>
      </c>
      <c r="K33" s="5" t="s">
        <v>216</v>
      </c>
      <c r="L33" s="67" t="s">
        <v>235</v>
      </c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ht="45" customHeight="1" x14ac:dyDescent="0.25">
      <c r="A34" s="67">
        <v>32</v>
      </c>
      <c r="B34" s="39" t="s">
        <v>236</v>
      </c>
      <c r="C34" s="67">
        <v>2019</v>
      </c>
      <c r="D34" s="67" t="s">
        <v>32</v>
      </c>
      <c r="E34" s="67" t="s">
        <v>46</v>
      </c>
      <c r="F34" s="67" t="s">
        <v>32</v>
      </c>
      <c r="G34" s="67" t="s">
        <v>32</v>
      </c>
      <c r="H34" s="67" t="s">
        <v>46</v>
      </c>
      <c r="I34" s="5" t="s">
        <v>32</v>
      </c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ht="45" customHeight="1" x14ac:dyDescent="0.25">
      <c r="A35" s="67">
        <v>33</v>
      </c>
      <c r="B35" s="39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ht="45" customHeight="1" x14ac:dyDescent="0.25">
      <c r="A36" s="67">
        <v>34</v>
      </c>
      <c r="B36" s="39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ht="45" customHeight="1" x14ac:dyDescent="0.25">
      <c r="A37" s="67">
        <v>35</v>
      </c>
      <c r="B37" s="39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ht="45" customHeight="1" x14ac:dyDescent="0.25">
      <c r="A38" s="67">
        <v>36</v>
      </c>
      <c r="B38" s="39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ht="45" customHeight="1" x14ac:dyDescent="0.25">
      <c r="A39" s="67">
        <v>37</v>
      </c>
      <c r="B39" s="39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ht="45" customHeight="1" x14ac:dyDescent="0.25">
      <c r="A40" s="67">
        <v>38</v>
      </c>
      <c r="B40" s="39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ht="45" customHeight="1" x14ac:dyDescent="0.25">
      <c r="A41" s="67">
        <v>39</v>
      </c>
      <c r="B41" s="39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ht="45" customHeight="1" x14ac:dyDescent="0.25">
      <c r="A42" s="67">
        <v>40</v>
      </c>
      <c r="B42" s="39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ht="45" customHeight="1" x14ac:dyDescent="0.25">
      <c r="A43" s="67">
        <v>41</v>
      </c>
      <c r="B43" s="39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ht="45" customHeight="1" x14ac:dyDescent="0.25">
      <c r="A44" s="67">
        <v>42</v>
      </c>
      <c r="B44" s="39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ht="45" customHeight="1" x14ac:dyDescent="0.25">
      <c r="A45" s="67">
        <v>43</v>
      </c>
      <c r="B45" s="39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ht="45" customHeight="1" x14ac:dyDescent="0.25">
      <c r="A46" s="67">
        <v>44</v>
      </c>
      <c r="B46" s="39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ht="45" customHeight="1" x14ac:dyDescent="0.25">
      <c r="A47" s="67">
        <v>45</v>
      </c>
      <c r="B47" s="39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ht="45" customHeight="1" x14ac:dyDescent="0.25">
      <c r="A48" s="67">
        <v>46</v>
      </c>
      <c r="B48" s="39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ht="45" customHeight="1" x14ac:dyDescent="0.25">
      <c r="A49" s="67">
        <v>47</v>
      </c>
      <c r="B49" s="39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ht="45" customHeight="1" x14ac:dyDescent="0.25">
      <c r="A50" s="67">
        <v>48</v>
      </c>
      <c r="B50" s="39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2" spans="1:23" x14ac:dyDescent="0.25">
      <c r="B52" s="70"/>
    </row>
  </sheetData>
  <mergeCells count="7">
    <mergeCell ref="D1:F1"/>
    <mergeCell ref="U1:W1"/>
    <mergeCell ref="G1:I1"/>
    <mergeCell ref="J1:L1"/>
    <mergeCell ref="M1:O1"/>
    <mergeCell ref="P1:R1"/>
    <mergeCell ref="S1:T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0"/>
  <sheetViews>
    <sheetView showGridLines="0" zoomScale="80" zoomScaleNormal="80" workbookViewId="0">
      <pane xSplit="4" ySplit="2" topLeftCell="E27" activePane="bottomRight" state="frozen"/>
      <selection pane="topRight" activeCell="C1" sqref="C1"/>
      <selection pane="bottomLeft" activeCell="A2" sqref="A2"/>
      <selection pane="bottomRight" activeCell="I28" sqref="I28"/>
    </sheetView>
  </sheetViews>
  <sheetFormatPr defaultColWidth="65.7109375" defaultRowHeight="30" customHeight="1" x14ac:dyDescent="0.25"/>
  <cols>
    <col min="1" max="1" width="11.5703125" style="43" bestFit="1" customWidth="1"/>
    <col min="2" max="2" width="20.85546875" style="6" customWidth="1"/>
    <col min="3" max="3" width="65.7109375" style="6"/>
    <col min="4" max="4" width="11.7109375" style="3" customWidth="1"/>
    <col min="5" max="5" width="27.7109375" style="3" customWidth="1"/>
    <col min="6" max="8" width="25.7109375" style="1" customWidth="1"/>
    <col min="9" max="9" width="25.7109375" style="108" customWidth="1"/>
    <col min="10" max="13" width="25.5703125" style="1" customWidth="1"/>
    <col min="14" max="16384" width="65.7109375" style="3"/>
  </cols>
  <sheetData>
    <row r="1" spans="1:13" ht="30" customHeight="1" x14ac:dyDescent="0.25">
      <c r="A1" s="41"/>
      <c r="B1" s="15"/>
      <c r="C1" s="15"/>
      <c r="D1" s="15"/>
      <c r="E1" s="12"/>
      <c r="F1" s="8">
        <f>SUM(Tabela3[Inscritos])</f>
        <v>4942</v>
      </c>
      <c r="G1" s="8">
        <f>SUM(Tabela3[Matriculados])</f>
        <v>4917</v>
      </c>
      <c r="H1" s="8">
        <f>SUM(Tabela3[Formados])</f>
        <v>2688</v>
      </c>
      <c r="I1" s="106"/>
      <c r="J1" s="8">
        <f>SUM(Tabela3[Reprovados])</f>
        <v>406</v>
      </c>
      <c r="K1" s="8">
        <f>SUM(Tabela3[Desistentes])</f>
        <v>840</v>
      </c>
      <c r="L1" s="8">
        <f>SUM(Tabela3[Não responderam o 1º questionário])</f>
        <v>495</v>
      </c>
      <c r="M1" s="8">
        <f>SUM(Tabela3[Nunca acessaram o curso])</f>
        <v>471</v>
      </c>
    </row>
    <row r="2" spans="1:13" s="49" customFormat="1" ht="30" customHeight="1" x14ac:dyDescent="0.25">
      <c r="A2" s="44" t="s">
        <v>139</v>
      </c>
      <c r="B2" s="38" t="s">
        <v>191</v>
      </c>
      <c r="C2" s="45" t="s">
        <v>0</v>
      </c>
      <c r="D2" s="46" t="s">
        <v>31</v>
      </c>
      <c r="E2" s="47" t="s">
        <v>175</v>
      </c>
      <c r="F2" s="46" t="s">
        <v>137</v>
      </c>
      <c r="G2" s="46" t="s">
        <v>138</v>
      </c>
      <c r="H2" s="46" t="s">
        <v>145</v>
      </c>
      <c r="I2" s="107" t="s">
        <v>231</v>
      </c>
      <c r="J2" s="46" t="s">
        <v>140</v>
      </c>
      <c r="K2" s="46" t="s">
        <v>141</v>
      </c>
      <c r="L2" s="48" t="s">
        <v>160</v>
      </c>
      <c r="M2" s="48" t="s">
        <v>161</v>
      </c>
    </row>
    <row r="3" spans="1:13" ht="30" customHeight="1" x14ac:dyDescent="0.25">
      <c r="A3" s="42">
        <v>1</v>
      </c>
      <c r="B3" s="37" t="s">
        <v>202</v>
      </c>
      <c r="C3" s="4" t="str">
        <f>'Controle adm. dos cursos'!B3</f>
        <v>Plano de Contingência On-line - 1ª Turma</v>
      </c>
      <c r="D3" s="5">
        <f>'Controle adm. dos cursos'!C3</f>
        <v>2014</v>
      </c>
      <c r="E3" s="13" t="s">
        <v>177</v>
      </c>
      <c r="F3" s="2">
        <v>268</v>
      </c>
      <c r="G3" s="2">
        <v>268</v>
      </c>
      <c r="H3" s="2">
        <v>99</v>
      </c>
      <c r="I3" s="72">
        <f>(Tabela3[[#This Row],[Formados]]*100)/Tabela3[[#This Row],[Matriculados]]</f>
        <v>36.940298507462686</v>
      </c>
      <c r="J3" s="2">
        <v>34</v>
      </c>
      <c r="K3" s="2">
        <v>125</v>
      </c>
      <c r="L3" s="2"/>
      <c r="M3" s="7"/>
    </row>
    <row r="4" spans="1:13" ht="30" customHeight="1" x14ac:dyDescent="0.25">
      <c r="A4" s="42">
        <v>2</v>
      </c>
      <c r="B4" s="37" t="s">
        <v>202</v>
      </c>
      <c r="C4" s="4" t="str">
        <f>'Controle adm. dos cursos'!B4</f>
        <v>Plano de Contingência On-line - 2ª Turma</v>
      </c>
      <c r="D4" s="5">
        <f>'Controle adm. dos cursos'!C4</f>
        <v>2014</v>
      </c>
      <c r="E4" s="13" t="s">
        <v>177</v>
      </c>
      <c r="F4" s="2">
        <v>147</v>
      </c>
      <c r="G4" s="2">
        <v>147</v>
      </c>
      <c r="H4" s="2">
        <v>34</v>
      </c>
      <c r="I4" s="72">
        <f>(Tabela3[[#This Row],[Formados]]*100)/Tabela3[[#This Row],[Matriculados]]</f>
        <v>23.129251700680271</v>
      </c>
      <c r="J4" s="2">
        <v>2</v>
      </c>
      <c r="K4" s="2">
        <v>102</v>
      </c>
      <c r="L4" s="2"/>
      <c r="M4" s="7"/>
    </row>
    <row r="5" spans="1:13" ht="30" customHeight="1" x14ac:dyDescent="0.25">
      <c r="A5" s="42">
        <v>3</v>
      </c>
      <c r="B5" s="37" t="s">
        <v>192</v>
      </c>
      <c r="C5" s="4" t="str">
        <f>'Controle adm. dos cursos'!B5</f>
        <v>Projetos para Capacitação de Recursos - 1ª Turma</v>
      </c>
      <c r="D5" s="5">
        <f>'Controle adm. dos cursos'!C5</f>
        <v>2014</v>
      </c>
      <c r="E5" s="13" t="s">
        <v>177</v>
      </c>
      <c r="F5" s="2">
        <v>50</v>
      </c>
      <c r="G5" s="2">
        <v>50</v>
      </c>
      <c r="H5" s="2">
        <v>15</v>
      </c>
      <c r="I5" s="72">
        <f>(Tabela3[[#This Row],[Formados]]*100)/Tabela3[[#This Row],[Matriculados]]</f>
        <v>30</v>
      </c>
      <c r="J5" s="2">
        <v>21</v>
      </c>
      <c r="K5" s="2">
        <v>14</v>
      </c>
      <c r="L5" s="2"/>
      <c r="M5" s="7"/>
    </row>
    <row r="6" spans="1:13" ht="30" customHeight="1" x14ac:dyDescent="0.25">
      <c r="A6" s="42">
        <v>4</v>
      </c>
      <c r="B6" s="37" t="s">
        <v>192</v>
      </c>
      <c r="C6" s="4" t="str">
        <f>'Controle adm. dos cursos'!B6</f>
        <v>Projetos para Capacitação de Recursos - 2ª Turma</v>
      </c>
      <c r="D6" s="5">
        <f>'Controle adm. dos cursos'!C6</f>
        <v>2014</v>
      </c>
      <c r="E6" s="13" t="s">
        <v>177</v>
      </c>
      <c r="F6" s="2">
        <v>101</v>
      </c>
      <c r="G6" s="2">
        <v>101</v>
      </c>
      <c r="H6" s="2">
        <v>16</v>
      </c>
      <c r="I6" s="72">
        <f>(Tabela3[[#This Row],[Formados]]*100)/Tabela3[[#This Row],[Matriculados]]</f>
        <v>15.841584158415841</v>
      </c>
      <c r="J6" s="2">
        <v>18</v>
      </c>
      <c r="K6" s="2">
        <v>68</v>
      </c>
      <c r="L6" s="2"/>
      <c r="M6" s="7"/>
    </row>
    <row r="7" spans="1:13" ht="30" customHeight="1" x14ac:dyDescent="0.25">
      <c r="A7" s="42">
        <v>5</v>
      </c>
      <c r="B7" s="37" t="s">
        <v>192</v>
      </c>
      <c r="C7" s="4" t="str">
        <f>'Controle adm. dos cursos'!B7</f>
        <v>Projetos para Capacitação de Recursos</v>
      </c>
      <c r="D7" s="5">
        <f>'Controle adm. dos cursos'!C7</f>
        <v>2015</v>
      </c>
      <c r="E7" s="13" t="s">
        <v>177</v>
      </c>
      <c r="F7" s="2">
        <v>74</v>
      </c>
      <c r="G7" s="2">
        <v>74</v>
      </c>
      <c r="H7" s="2">
        <v>40</v>
      </c>
      <c r="I7" s="72">
        <f>(Tabela3[[#This Row],[Formados]]*100)/Tabela3[[#This Row],[Matriculados]]</f>
        <v>54.054054054054056</v>
      </c>
      <c r="J7" s="2">
        <v>34</v>
      </c>
      <c r="K7" s="2"/>
      <c r="L7" s="2"/>
      <c r="M7" s="7"/>
    </row>
    <row r="8" spans="1:13" ht="30" customHeight="1" x14ac:dyDescent="0.25">
      <c r="A8" s="42">
        <v>6</v>
      </c>
      <c r="B8" s="37" t="s">
        <v>193</v>
      </c>
      <c r="C8" s="4" t="str">
        <f>'Controle adm. dos cursos'!B8</f>
        <v>SCI - Sistema de Comando de Incidentes</v>
      </c>
      <c r="D8" s="5">
        <f>'Controle adm. dos cursos'!C8</f>
        <v>2015</v>
      </c>
      <c r="E8" s="13" t="s">
        <v>177</v>
      </c>
      <c r="F8" s="2">
        <v>118</v>
      </c>
      <c r="G8" s="2">
        <v>118</v>
      </c>
      <c r="H8" s="2">
        <v>79</v>
      </c>
      <c r="I8" s="72">
        <f>(Tabela3[[#This Row],[Formados]]*100)/Tabela3[[#This Row],[Matriculados]]</f>
        <v>66.949152542372886</v>
      </c>
      <c r="J8" s="2">
        <v>39</v>
      </c>
      <c r="K8" s="2"/>
      <c r="L8" s="2"/>
      <c r="M8" s="7"/>
    </row>
    <row r="9" spans="1:13" ht="30" customHeight="1" x14ac:dyDescent="0.25">
      <c r="A9" s="42">
        <v>7</v>
      </c>
      <c r="B9" s="37" t="s">
        <v>194</v>
      </c>
      <c r="C9" s="4" t="str">
        <f>'Controle adm. dos cursos'!B9</f>
        <v>Capacitação de Brigadistas Escolares Municipais - 1ª Turma - Maringá</v>
      </c>
      <c r="D9" s="5">
        <f>'Controle adm. dos cursos'!C9</f>
        <v>2016</v>
      </c>
      <c r="E9" s="13" t="s">
        <v>177</v>
      </c>
      <c r="F9" s="2">
        <v>189</v>
      </c>
      <c r="G9" s="2">
        <v>189</v>
      </c>
      <c r="H9" s="2">
        <v>137</v>
      </c>
      <c r="I9" s="72">
        <f>(Tabela3[[#This Row],[Formados]]*100)/Tabela3[[#This Row],[Matriculados]]</f>
        <v>72.48677248677248</v>
      </c>
      <c r="J9" s="2">
        <v>52</v>
      </c>
      <c r="K9" s="2"/>
      <c r="L9" s="2"/>
      <c r="M9" s="7"/>
    </row>
    <row r="10" spans="1:13" ht="30" customHeight="1" x14ac:dyDescent="0.25">
      <c r="A10" s="42">
        <v>8</v>
      </c>
      <c r="B10" s="37" t="s">
        <v>203</v>
      </c>
      <c r="C10" s="4" t="str">
        <f>'Controle adm. dos cursos'!B10</f>
        <v>CCVE - Condutor de Veículos de Emergência</v>
      </c>
      <c r="D10" s="5">
        <f>'Controle adm. dos cursos'!C10</f>
        <v>2016</v>
      </c>
      <c r="E10" s="13" t="s">
        <v>177</v>
      </c>
      <c r="F10" s="2">
        <f>[1]Notas!$A$234</f>
        <v>233</v>
      </c>
      <c r="G10" s="2">
        <f>[1]Notas!$A$234</f>
        <v>233</v>
      </c>
      <c r="H10" s="2">
        <f>[1]Notas!$G$235</f>
        <v>233</v>
      </c>
      <c r="I10" s="72">
        <f>(Tabela3[[#This Row],[Formados]]*100)/Tabela3[[#This Row],[Matriculados]]</f>
        <v>100</v>
      </c>
      <c r="J10" s="2">
        <f>[1]Notas!$H$235</f>
        <v>0</v>
      </c>
      <c r="K10" s="2">
        <f>[1]Notas!$I$235</f>
        <v>0</v>
      </c>
      <c r="L10" s="2"/>
      <c r="M10" s="7"/>
    </row>
    <row r="11" spans="1:13" ht="30" customHeight="1" x14ac:dyDescent="0.25">
      <c r="A11" s="42">
        <v>9</v>
      </c>
      <c r="B11" s="37" t="s">
        <v>195</v>
      </c>
      <c r="C11" s="4" t="str">
        <f>'Controle adm. dos cursos'!B11</f>
        <v>Formação de Brigadistas de Incêndio nos Palácios Iguaçu e Araucárias</v>
      </c>
      <c r="D11" s="5">
        <f>'Controle adm. dos cursos'!C11</f>
        <v>2016</v>
      </c>
      <c r="E11" s="13" t="s">
        <v>176</v>
      </c>
      <c r="F11" s="2">
        <v>122</v>
      </c>
      <c r="G11" s="2">
        <v>122</v>
      </c>
      <c r="H11" s="2">
        <v>58</v>
      </c>
      <c r="I11" s="72">
        <f>(Tabela3[[#This Row],[Formados]]*100)/Tabela3[[#This Row],[Matriculados]]</f>
        <v>47.540983606557376</v>
      </c>
      <c r="J11" s="2">
        <v>3</v>
      </c>
      <c r="K11" s="2">
        <v>22</v>
      </c>
      <c r="L11" s="2"/>
      <c r="M11" s="7"/>
    </row>
    <row r="12" spans="1:13" ht="30" customHeight="1" x14ac:dyDescent="0.25">
      <c r="A12" s="42">
        <v>10</v>
      </c>
      <c r="B12" s="37" t="s">
        <v>193</v>
      </c>
      <c r="C12" s="4" t="str">
        <f>'Controle adm. dos cursos'!B12</f>
        <v>SCI - Sistema de Comando de Incidentes</v>
      </c>
      <c r="D12" s="5">
        <f>'Controle adm. dos cursos'!C12</f>
        <v>2016</v>
      </c>
      <c r="E12" s="13" t="s">
        <v>177</v>
      </c>
      <c r="F12" s="2">
        <v>171</v>
      </c>
      <c r="G12" s="2">
        <v>171</v>
      </c>
      <c r="H12" s="2">
        <v>86</v>
      </c>
      <c r="I12" s="72">
        <f>(Tabela3[[#This Row],[Formados]]*100)/Tabela3[[#This Row],[Matriculados]]</f>
        <v>50.292397660818715</v>
      </c>
      <c r="J12" s="2">
        <v>3</v>
      </c>
      <c r="K12" s="2">
        <v>22</v>
      </c>
      <c r="L12" s="2">
        <v>29</v>
      </c>
      <c r="M12" s="7">
        <v>31</v>
      </c>
    </row>
    <row r="13" spans="1:13" ht="30" customHeight="1" x14ac:dyDescent="0.25">
      <c r="A13" s="42">
        <v>11</v>
      </c>
      <c r="B13" s="37" t="s">
        <v>196</v>
      </c>
      <c r="C13" s="4" t="str">
        <f>'Controle adm. dos cursos'!B13</f>
        <v>SCI - Sistema de Comando de Incidentes - SESA</v>
      </c>
      <c r="D13" s="5">
        <f>'Controle adm. dos cursos'!C13</f>
        <v>2016</v>
      </c>
      <c r="E13" s="13" t="s">
        <v>177</v>
      </c>
      <c r="F13" s="2">
        <v>52</v>
      </c>
      <c r="G13" s="2">
        <v>52</v>
      </c>
      <c r="H13" s="2">
        <v>35</v>
      </c>
      <c r="I13" s="72">
        <f>(Tabela3[[#This Row],[Formados]]*100)/Tabela3[[#This Row],[Matriculados]]</f>
        <v>67.307692307692307</v>
      </c>
      <c r="J13" s="2">
        <v>17</v>
      </c>
      <c r="K13" s="2"/>
      <c r="L13" s="2"/>
      <c r="M13" s="7"/>
    </row>
    <row r="14" spans="1:13" ht="30" customHeight="1" x14ac:dyDescent="0.25">
      <c r="A14" s="42">
        <v>12</v>
      </c>
      <c r="B14" s="37" t="s">
        <v>194</v>
      </c>
      <c r="C14" s="4" t="str">
        <f>'Controle adm. dos cursos'!B14</f>
        <v>Capacitação de Brigadistas Escolares Municipais - 2ª Turma - Maringá</v>
      </c>
      <c r="D14" s="5">
        <f>'Controle adm. dos cursos'!C14</f>
        <v>2017</v>
      </c>
      <c r="E14" s="13" t="s">
        <v>176</v>
      </c>
      <c r="F14" s="2">
        <v>199</v>
      </c>
      <c r="G14" s="2">
        <v>199</v>
      </c>
      <c r="H14" s="2">
        <v>158</v>
      </c>
      <c r="I14" s="72">
        <f>(Tabela3[[#This Row],[Formados]]*100)/Tabela3[[#This Row],[Matriculados]]</f>
        <v>79.396984924623112</v>
      </c>
      <c r="J14" s="2">
        <v>7</v>
      </c>
      <c r="K14" s="2">
        <v>21</v>
      </c>
      <c r="L14" s="2">
        <v>1</v>
      </c>
      <c r="M14" s="7">
        <v>12</v>
      </c>
    </row>
    <row r="15" spans="1:13" ht="30" customHeight="1" x14ac:dyDescent="0.25">
      <c r="A15" s="42">
        <v>13</v>
      </c>
      <c r="B15" s="37" t="s">
        <v>197</v>
      </c>
      <c r="C15" s="4" t="str">
        <f>'Controle adm. dos cursos'!B15</f>
        <v>Conhecimentos Básicos para Integrantes da REER - Rede Estadual de Emergência de Radioamadores - 1ª Turma</v>
      </c>
      <c r="D15" s="5">
        <f>'Controle adm. dos cursos'!C15</f>
        <v>2017</v>
      </c>
      <c r="E15" s="13" t="s">
        <v>177</v>
      </c>
      <c r="F15" s="2">
        <v>30</v>
      </c>
      <c r="G15" s="2">
        <v>30</v>
      </c>
      <c r="H15" s="2">
        <v>28</v>
      </c>
      <c r="I15" s="72">
        <f>(Tabela3[[#This Row],[Formados]]*100)/Tabela3[[#This Row],[Matriculados]]</f>
        <v>93.333333333333329</v>
      </c>
      <c r="J15" s="2">
        <v>2</v>
      </c>
      <c r="K15" s="2">
        <v>0</v>
      </c>
      <c r="L15" s="2">
        <v>0</v>
      </c>
      <c r="M15" s="7">
        <v>0</v>
      </c>
    </row>
    <row r="16" spans="1:13" ht="30" customHeight="1" x14ac:dyDescent="0.25">
      <c r="A16" s="42">
        <v>14</v>
      </c>
      <c r="B16" s="37" t="s">
        <v>197</v>
      </c>
      <c r="C16" s="4" t="str">
        <f>'Controle adm. dos cursos'!B16</f>
        <v>Conhecimentos Básicos para Integrantes da REER - Rede Estadual de Emergência de Radioamadores - 2ª Turma</v>
      </c>
      <c r="D16" s="5">
        <f>'Controle adm. dos cursos'!C16</f>
        <v>2017</v>
      </c>
      <c r="E16" s="13" t="s">
        <v>177</v>
      </c>
      <c r="F16" s="2">
        <v>134</v>
      </c>
      <c r="G16" s="2">
        <v>134</v>
      </c>
      <c r="H16" s="2">
        <v>112</v>
      </c>
      <c r="I16" s="72">
        <f>(Tabela3[[#This Row],[Formados]]*100)/Tabela3[[#This Row],[Matriculados]]</f>
        <v>83.582089552238813</v>
      </c>
      <c r="J16" s="2">
        <v>7</v>
      </c>
      <c r="K16" s="2">
        <v>2</v>
      </c>
      <c r="L16" s="2">
        <v>3</v>
      </c>
      <c r="M16" s="7">
        <v>12</v>
      </c>
    </row>
    <row r="17" spans="1:13" ht="30" customHeight="1" x14ac:dyDescent="0.25">
      <c r="A17" s="42">
        <v>15</v>
      </c>
      <c r="B17" s="37" t="s">
        <v>197</v>
      </c>
      <c r="C17" s="4" t="str">
        <f>'Controle adm. dos cursos'!B17</f>
        <v>Conhecimentos Básicos para Integrantes da REER - Rede Estadual de Emergência de Radioamadores - 3ª Turma</v>
      </c>
      <c r="D17" s="5">
        <f>'Controle adm. dos cursos'!C17</f>
        <v>2017</v>
      </c>
      <c r="E17" s="13" t="s">
        <v>177</v>
      </c>
      <c r="F17" s="2">
        <v>38</v>
      </c>
      <c r="G17" s="2">
        <v>38</v>
      </c>
      <c r="H17" s="2">
        <v>28</v>
      </c>
      <c r="I17" s="72">
        <f>(Tabela3[[#This Row],[Formados]]*100)/Tabela3[[#This Row],[Matriculados]]</f>
        <v>73.684210526315795</v>
      </c>
      <c r="J17" s="2">
        <v>1</v>
      </c>
      <c r="K17" s="2">
        <v>0</v>
      </c>
      <c r="L17" s="2">
        <v>0</v>
      </c>
      <c r="M17" s="7">
        <v>9</v>
      </c>
    </row>
    <row r="18" spans="1:13" ht="30" customHeight="1" x14ac:dyDescent="0.25">
      <c r="A18" s="42">
        <v>16</v>
      </c>
      <c r="B18" s="37" t="s">
        <v>225</v>
      </c>
      <c r="C18" s="4" t="str">
        <f>'Controle adm. dos cursos'!B18</f>
        <v>Conhecimentos Fundamentais para Gestores Municipais de Proteção e Defesa Civil - 1ª Turma</v>
      </c>
      <c r="D18" s="5">
        <f>'Controle adm. dos cursos'!C18</f>
        <v>2017</v>
      </c>
      <c r="E18" s="13" t="s">
        <v>177</v>
      </c>
      <c r="F18" s="2">
        <v>824</v>
      </c>
      <c r="G18" s="2">
        <v>824</v>
      </c>
      <c r="H18" s="2">
        <v>462</v>
      </c>
      <c r="I18" s="72">
        <f>(Tabela3[[#This Row],[Formados]]*100)/Tabela3[[#This Row],[Matriculados]]</f>
        <v>56.067961165048544</v>
      </c>
      <c r="J18" s="2">
        <v>19</v>
      </c>
      <c r="K18" s="2">
        <v>0</v>
      </c>
      <c r="L18" s="2">
        <v>254</v>
      </c>
      <c r="M18" s="7">
        <v>96</v>
      </c>
    </row>
    <row r="19" spans="1:13" ht="30" customHeight="1" x14ac:dyDescent="0.25">
      <c r="A19" s="42">
        <v>17</v>
      </c>
      <c r="B19" s="37" t="s">
        <v>225</v>
      </c>
      <c r="C19" s="4" t="str">
        <f>'Controle adm. dos cursos'!B19</f>
        <v>Conhecimentos Fundamentais para Gestores Municipais de Proteção e Defesa Civil - 2ª Turma</v>
      </c>
      <c r="D19" s="5">
        <f>'Controle adm. dos cursos'!C19</f>
        <v>2017</v>
      </c>
      <c r="E19" s="13" t="s">
        <v>177</v>
      </c>
      <c r="F19" s="2">
        <v>241</v>
      </c>
      <c r="G19" s="2">
        <v>241</v>
      </c>
      <c r="H19" s="2">
        <v>100</v>
      </c>
      <c r="I19" s="72">
        <f>(Tabela3[[#This Row],[Formados]]*100)/Tabela3[[#This Row],[Matriculados]]</f>
        <v>41.49377593360996</v>
      </c>
      <c r="J19" s="2">
        <v>4</v>
      </c>
      <c r="K19" s="2">
        <v>126</v>
      </c>
      <c r="L19" s="2">
        <v>0</v>
      </c>
      <c r="M19" s="7">
        <v>17</v>
      </c>
    </row>
    <row r="20" spans="1:13" ht="30" customHeight="1" x14ac:dyDescent="0.25">
      <c r="A20" s="42">
        <v>18</v>
      </c>
      <c r="B20" s="37" t="s">
        <v>198</v>
      </c>
      <c r="C20" s="4" t="str">
        <f>'Controle adm. dos cursos'!B20</f>
        <v>SCI - Sistema de Comando de Incidentes - 1ª Turma - SANEPAR</v>
      </c>
      <c r="D20" s="5">
        <f>'Controle adm. dos cursos'!C20</f>
        <v>2017</v>
      </c>
      <c r="E20" s="13" t="s">
        <v>177</v>
      </c>
      <c r="F20" s="2">
        <v>103</v>
      </c>
      <c r="G20" s="2">
        <v>103</v>
      </c>
      <c r="H20" s="2">
        <v>72</v>
      </c>
      <c r="I20" s="72">
        <f>(Tabela3[[#This Row],[Formados]]*100)/Tabela3[[#This Row],[Matriculados]]</f>
        <v>69.902912621359221</v>
      </c>
      <c r="J20" s="2">
        <v>2</v>
      </c>
      <c r="K20" s="2">
        <v>12</v>
      </c>
      <c r="L20" s="2">
        <v>5</v>
      </c>
      <c r="M20" s="7">
        <v>11</v>
      </c>
    </row>
    <row r="21" spans="1:13" ht="30" customHeight="1" x14ac:dyDescent="0.25">
      <c r="A21" s="42">
        <v>19</v>
      </c>
      <c r="B21" s="37" t="s">
        <v>198</v>
      </c>
      <c r="C21" s="4" t="str">
        <f>'Controle adm. dos cursos'!B21</f>
        <v>SCI - Sistema de Comando de Incidentes - 2º Turma - SANEPAR</v>
      </c>
      <c r="D21" s="5">
        <f>'Controle adm. dos cursos'!C21</f>
        <v>2017</v>
      </c>
      <c r="E21" s="13" t="s">
        <v>177</v>
      </c>
      <c r="F21" s="2">
        <v>97</v>
      </c>
      <c r="G21" s="2">
        <v>97</v>
      </c>
      <c r="H21" s="2">
        <v>32</v>
      </c>
      <c r="I21" s="72">
        <f>(Tabela3[[#This Row],[Formados]]*100)/Tabela3[[#This Row],[Matriculados]]</f>
        <v>32.989690721649481</v>
      </c>
      <c r="J21" s="2">
        <v>1</v>
      </c>
      <c r="K21" s="2">
        <v>15</v>
      </c>
      <c r="L21" s="2">
        <v>17</v>
      </c>
      <c r="M21" s="7">
        <v>32</v>
      </c>
    </row>
    <row r="22" spans="1:13" ht="30" customHeight="1" x14ac:dyDescent="0.25">
      <c r="A22" s="42">
        <v>20</v>
      </c>
      <c r="B22" s="37" t="s">
        <v>199</v>
      </c>
      <c r="C22" s="4" t="str">
        <f>'Controle adm. dos cursos'!B22</f>
        <v>Formação de Brigadistas para Universidades - Turmas UNESPAR e UEM</v>
      </c>
      <c r="D22" s="5">
        <f>'Controle adm. dos cursos'!C22</f>
        <v>2017</v>
      </c>
      <c r="E22" s="13" t="s">
        <v>176</v>
      </c>
      <c r="F22" s="2">
        <v>134</v>
      </c>
      <c r="G22" s="2">
        <v>134</v>
      </c>
      <c r="H22" s="2">
        <v>105</v>
      </c>
      <c r="I22" s="72">
        <f>(Tabela3[[#This Row],[Formados]]*100)/Tabela3[[#This Row],[Matriculados]]</f>
        <v>78.358208955223887</v>
      </c>
      <c r="J22" s="2">
        <v>4</v>
      </c>
      <c r="K22" s="2">
        <v>19</v>
      </c>
      <c r="L22" s="2">
        <v>12</v>
      </c>
      <c r="M22" s="7">
        <v>0</v>
      </c>
    </row>
    <row r="23" spans="1:13" ht="30" customHeight="1" x14ac:dyDescent="0.25">
      <c r="A23" s="42">
        <v>21</v>
      </c>
      <c r="B23" s="37" t="s">
        <v>200</v>
      </c>
      <c r="C23" s="9" t="str">
        <f>'Controle adm. dos cursos'!B23</f>
        <v xml:space="preserve">Intervenção e Saúde Mental em Desastres - Turma Curitiba </v>
      </c>
      <c r="D23" s="10">
        <f>'Controle adm. dos cursos'!C23</f>
        <v>2017</v>
      </c>
      <c r="E23" s="14" t="s">
        <v>176</v>
      </c>
      <c r="F23" s="2">
        <v>158</v>
      </c>
      <c r="G23" s="2">
        <v>158</v>
      </c>
      <c r="H23" s="2">
        <v>54</v>
      </c>
      <c r="I23" s="72">
        <f>(Tabela3[[#This Row],[Formados]]*100)/Tabela3[[#This Row],[Matriculados]]</f>
        <v>34.177215189873415</v>
      </c>
      <c r="J23" s="2">
        <v>21</v>
      </c>
      <c r="K23" s="2">
        <v>83</v>
      </c>
      <c r="L23" s="2">
        <v>0</v>
      </c>
      <c r="M23" s="7">
        <v>0</v>
      </c>
    </row>
    <row r="24" spans="1:13" ht="30" customHeight="1" x14ac:dyDescent="0.25">
      <c r="A24" s="42">
        <v>22</v>
      </c>
      <c r="B24" s="37" t="s">
        <v>200</v>
      </c>
      <c r="C24" s="9" t="str">
        <f>'Controle adm. dos cursos'!B24</f>
        <v>Intervenção e Saúde Mental em Desastres - Turma Cascavel </v>
      </c>
      <c r="D24" s="10">
        <f>'Controle adm. dos cursos'!C24</f>
        <v>2017</v>
      </c>
      <c r="E24" s="14" t="s">
        <v>176</v>
      </c>
      <c r="F24" s="7">
        <v>43</v>
      </c>
      <c r="G24" s="7">
        <v>43</v>
      </c>
      <c r="H24" s="7">
        <v>21</v>
      </c>
      <c r="I24" s="73">
        <f>(Tabela3[[#This Row],[Formados]]*100)/Tabela3[[#This Row],[Matriculados]]</f>
        <v>48.837209302325583</v>
      </c>
      <c r="J24" s="7">
        <v>4</v>
      </c>
      <c r="K24" s="7">
        <f>Tabela3[[#This Row],[Matriculados]]-Tabela3[[#This Row],[Formados]]-Tabela3[[#This Row],[Reprovados]]</f>
        <v>18</v>
      </c>
      <c r="L24" s="2">
        <v>0</v>
      </c>
      <c r="M24" s="2">
        <v>0</v>
      </c>
    </row>
    <row r="25" spans="1:13" ht="30" customHeight="1" x14ac:dyDescent="0.25">
      <c r="A25" s="42">
        <v>23</v>
      </c>
      <c r="B25" s="37" t="s">
        <v>200</v>
      </c>
      <c r="C25" s="9" t="str">
        <f>'Controle adm. dos cursos'!B25</f>
        <v>Intervenção e Saúde Mental em Desastres - Turma Londrina </v>
      </c>
      <c r="D25" s="10">
        <f>'Controle adm. dos cursos'!C25</f>
        <v>2017</v>
      </c>
      <c r="E25" s="14" t="s">
        <v>176</v>
      </c>
      <c r="F25" s="7">
        <v>74</v>
      </c>
      <c r="G25" s="7">
        <v>74</v>
      </c>
      <c r="H25" s="7">
        <v>24</v>
      </c>
      <c r="I25" s="73">
        <f>(Tabela3[[#This Row],[Formados]]*100)/Tabela3[[#This Row],[Matriculados]]</f>
        <v>32.432432432432435</v>
      </c>
      <c r="J25" s="7">
        <v>8</v>
      </c>
      <c r="K25" s="7">
        <f>Tabela3[[#This Row],[Matriculados]]-Tabela3[[#This Row],[Formados]]-Tabela3[[#This Row],[Reprovados]]</f>
        <v>42</v>
      </c>
      <c r="L25" s="2">
        <v>0</v>
      </c>
      <c r="M25" s="2">
        <v>0</v>
      </c>
    </row>
    <row r="26" spans="1:13" ht="30" customHeight="1" x14ac:dyDescent="0.25">
      <c r="A26" s="42">
        <v>24</v>
      </c>
      <c r="B26" s="37" t="s">
        <v>200</v>
      </c>
      <c r="C26" s="9" t="str">
        <f>'Controle adm. dos cursos'!B26</f>
        <v>Intervenção e Saúde Mental em Desastres - Turma Maringá</v>
      </c>
      <c r="D26" s="10">
        <f>'Controle adm. dos cursos'!C26</f>
        <v>2017</v>
      </c>
      <c r="E26" s="14" t="s">
        <v>176</v>
      </c>
      <c r="F26" s="7">
        <v>97</v>
      </c>
      <c r="G26" s="7">
        <v>97</v>
      </c>
      <c r="H26" s="7">
        <v>47</v>
      </c>
      <c r="I26" s="73">
        <f>(Tabela3[[#This Row],[Formados]]*100)/Tabela3[[#This Row],[Matriculados]]</f>
        <v>48.453608247422679</v>
      </c>
      <c r="J26" s="7">
        <v>5</v>
      </c>
      <c r="K26" s="7">
        <v>45</v>
      </c>
      <c r="L26" s="2">
        <v>0</v>
      </c>
      <c r="M26" s="2">
        <v>0</v>
      </c>
    </row>
    <row r="27" spans="1:13" ht="30" customHeight="1" x14ac:dyDescent="0.25">
      <c r="A27" s="42">
        <v>25</v>
      </c>
      <c r="B27" s="37" t="s">
        <v>193</v>
      </c>
      <c r="C27" s="4" t="str">
        <f>'Controle adm. dos cursos'!B27</f>
        <v>SCI - Sistema de Comando de Incidentes - 1ª Turma</v>
      </c>
      <c r="D27" s="5">
        <f>'Controle adm. dos cursos'!C27</f>
        <v>2018</v>
      </c>
      <c r="E27" s="13" t="s">
        <v>177</v>
      </c>
      <c r="F27" s="2">
        <v>90</v>
      </c>
      <c r="G27" s="2">
        <v>90</v>
      </c>
      <c r="H27" s="2">
        <v>35</v>
      </c>
      <c r="I27" s="72">
        <f>(Tabela3[[#This Row],[Formados]]*100)/Tabela3[[#This Row],[Matriculados]]</f>
        <v>38.888888888888886</v>
      </c>
      <c r="J27" s="2">
        <v>4</v>
      </c>
      <c r="K27" s="2">
        <v>16</v>
      </c>
      <c r="L27" s="2">
        <v>35</v>
      </c>
      <c r="M27" s="7">
        <v>22</v>
      </c>
    </row>
    <row r="28" spans="1:13" ht="30" customHeight="1" x14ac:dyDescent="0.25">
      <c r="A28" s="42">
        <v>26</v>
      </c>
      <c r="B28" s="37" t="s">
        <v>201</v>
      </c>
      <c r="C28" s="4" t="str">
        <f>'Controle adm. dos cursos'!B28</f>
        <v>Curso de Voluntários</v>
      </c>
      <c r="D28" s="5">
        <f>'Controle adm. dos cursos'!C28</f>
        <v>2018</v>
      </c>
      <c r="E28" s="13" t="s">
        <v>177</v>
      </c>
      <c r="F28" s="2">
        <v>423</v>
      </c>
      <c r="G28" s="2">
        <v>423</v>
      </c>
      <c r="H28" s="2">
        <v>261</v>
      </c>
      <c r="I28" s="72">
        <f>(Tabela3[[#This Row],[Formados]]*100)/Tabela3[[#This Row],[Matriculados]]</f>
        <v>61.702127659574465</v>
      </c>
      <c r="J28" s="2">
        <v>19</v>
      </c>
      <c r="K28" s="2">
        <v>25</v>
      </c>
      <c r="L28" s="2">
        <v>46</v>
      </c>
      <c r="M28" s="7">
        <v>68</v>
      </c>
    </row>
    <row r="29" spans="1:13" ht="30" customHeight="1" x14ac:dyDescent="0.25">
      <c r="A29" s="42">
        <v>27</v>
      </c>
      <c r="B29" s="37" t="s">
        <v>194</v>
      </c>
      <c r="C29" s="4" t="str">
        <f>'Controle adm. dos cursos'!B29</f>
        <v>Capacitação de Brigadistas Escolares Municipais - 1ª Turma - Maringá</v>
      </c>
      <c r="D29" s="5">
        <f>'Controle adm. dos cursos'!C29</f>
        <v>2018</v>
      </c>
      <c r="E29" s="13" t="s">
        <v>176</v>
      </c>
      <c r="F29" s="2">
        <v>209</v>
      </c>
      <c r="G29" s="2">
        <v>209</v>
      </c>
      <c r="H29" s="2">
        <v>131</v>
      </c>
      <c r="I29" s="72">
        <f>(Tabela3[[#This Row],[Formados]]*100)/Tabela3[[#This Row],[Matriculados]]</f>
        <v>62.679425837320572</v>
      </c>
      <c r="J29" s="2">
        <v>38</v>
      </c>
      <c r="K29" s="2">
        <v>33</v>
      </c>
      <c r="L29" s="2">
        <v>1</v>
      </c>
      <c r="M29" s="7">
        <v>9</v>
      </c>
    </row>
    <row r="30" spans="1:13" ht="30" customHeight="1" x14ac:dyDescent="0.25">
      <c r="A30" s="42">
        <v>28</v>
      </c>
      <c r="B30" s="37" t="s">
        <v>197</v>
      </c>
      <c r="C30" s="4" t="str">
        <f>'Controle adm. dos cursos'!B30</f>
        <v>Conhecimentos Básicos para Integrantes da REER - Rede Estadual de Emergência de Radioamadores - 1ª Turma</v>
      </c>
      <c r="D30" s="5">
        <f>'Controle adm. dos cursos'!C30</f>
        <v>2018</v>
      </c>
      <c r="E30" s="13" t="s">
        <v>177</v>
      </c>
      <c r="F30" s="7">
        <v>37</v>
      </c>
      <c r="G30" s="7">
        <v>37</v>
      </c>
      <c r="H30" s="7">
        <v>25</v>
      </c>
      <c r="I30" s="73">
        <f>(Tabela3[[#This Row],[Formados]]*100)/Tabela3[[#This Row],[Matriculados]]</f>
        <v>67.567567567567565</v>
      </c>
      <c r="J30" s="7">
        <v>2</v>
      </c>
      <c r="K30" s="7">
        <v>1</v>
      </c>
      <c r="L30" s="1">
        <v>1</v>
      </c>
      <c r="M30" s="11">
        <v>8</v>
      </c>
    </row>
    <row r="31" spans="1:13" ht="30" customHeight="1" x14ac:dyDescent="0.25">
      <c r="A31" s="42">
        <v>29</v>
      </c>
      <c r="B31" s="37" t="s">
        <v>219</v>
      </c>
      <c r="C31" s="4" t="str">
        <f>'Controle adm. dos cursos'!B31</f>
        <v>Desenvolvimento de capacidades para tornar as cidades mais resilientes - Tutores</v>
      </c>
      <c r="D31" s="5">
        <f>'Controle adm. dos cursos'!C31</f>
        <v>2018</v>
      </c>
      <c r="E31" s="13" t="s">
        <v>177</v>
      </c>
      <c r="F31" s="7">
        <v>18</v>
      </c>
      <c r="G31" s="7">
        <v>18</v>
      </c>
      <c r="H31" s="7">
        <v>15</v>
      </c>
      <c r="I31" s="73">
        <f>(Tabela3[[#This Row],[Formados]]*100)/Tabela3[[#This Row],[Matriculados]]</f>
        <v>83.333333333333329</v>
      </c>
      <c r="J31" s="7">
        <v>0</v>
      </c>
      <c r="K31" s="7">
        <v>0</v>
      </c>
      <c r="L31" s="1">
        <v>1</v>
      </c>
      <c r="M31" s="11">
        <v>1</v>
      </c>
    </row>
    <row r="32" spans="1:13" ht="30" customHeight="1" x14ac:dyDescent="0.25">
      <c r="A32" s="42">
        <v>30</v>
      </c>
      <c r="B32" s="37" t="s">
        <v>225</v>
      </c>
      <c r="C32" s="4" t="str">
        <f>'Controle adm. dos cursos'!B32</f>
        <v>Conhecimentos Fundamentais em Proteção e Defesa Civil - SEDS</v>
      </c>
      <c r="D32" s="5">
        <f>'Controle adm. dos cursos'!C32</f>
        <v>2018</v>
      </c>
      <c r="E32" s="13" t="s">
        <v>177</v>
      </c>
      <c r="F32" s="2">
        <v>102</v>
      </c>
      <c r="G32" s="2">
        <v>102</v>
      </c>
      <c r="H32" s="2">
        <v>10</v>
      </c>
      <c r="I32" s="72">
        <f>(Tabela3[[#This Row],[Formados]]*100)/Tabela3[[#This Row],[Matriculados]]</f>
        <v>9.8039215686274517</v>
      </c>
      <c r="J32" s="2">
        <v>0</v>
      </c>
      <c r="K32" s="2">
        <v>0</v>
      </c>
      <c r="L32" s="2">
        <v>14</v>
      </c>
      <c r="M32" s="7">
        <v>78</v>
      </c>
    </row>
    <row r="33" spans="1:13" ht="30" customHeight="1" x14ac:dyDescent="0.25">
      <c r="A33" s="42">
        <v>31</v>
      </c>
      <c r="B33" s="37" t="s">
        <v>219</v>
      </c>
      <c r="C33" s="4" t="str">
        <f>'Controle adm. dos cursos'!B33</f>
        <v>Desenvolvimento de capacidades para tornar as cidades mais resilientes - Turma 2018</v>
      </c>
      <c r="D33" s="5">
        <f>'Controle adm. dos cursos'!C33</f>
        <v>2018</v>
      </c>
      <c r="E33" s="13" t="s">
        <v>177</v>
      </c>
      <c r="F33" s="2">
        <v>324</v>
      </c>
      <c r="G33" s="2">
        <v>324</v>
      </c>
      <c r="H33" s="2">
        <v>120</v>
      </c>
      <c r="I33" s="72">
        <f>(Tabela3[[#This Row],[Formados]]*100)/Tabela3[[#This Row],[Matriculados]]</f>
        <v>37.037037037037038</v>
      </c>
      <c r="J33" s="2">
        <v>34</v>
      </c>
      <c r="K33" s="2">
        <v>29</v>
      </c>
      <c r="L33" s="2">
        <v>76</v>
      </c>
      <c r="M33" s="7">
        <v>65</v>
      </c>
    </row>
    <row r="34" spans="1:13" ht="30" customHeight="1" x14ac:dyDescent="0.25">
      <c r="A34" s="42">
        <v>32</v>
      </c>
      <c r="B34" s="37" t="s">
        <v>225</v>
      </c>
      <c r="C34" s="4" t="str">
        <f>'Controle adm. dos cursos'!B34</f>
        <v>Conhecimentos Fundamentais em Proteção e Defesa Civil - DPDC</v>
      </c>
      <c r="D34" s="5">
        <f>'Controle adm. dos cursos'!C34</f>
        <v>2019</v>
      </c>
      <c r="E34" s="13" t="s">
        <v>177</v>
      </c>
      <c r="F34" s="2">
        <v>42</v>
      </c>
      <c r="G34" s="2">
        <v>17</v>
      </c>
      <c r="H34" s="2">
        <v>16</v>
      </c>
      <c r="I34" s="72">
        <f>(Tabela3[[#This Row],[Formados]]*100)/Tabela3[[#This Row],[Matriculados]]</f>
        <v>94.117647058823536</v>
      </c>
      <c r="J34" s="2">
        <v>1</v>
      </c>
      <c r="K34" s="2">
        <v>0</v>
      </c>
      <c r="L34" s="2">
        <v>0</v>
      </c>
      <c r="M34" s="7">
        <v>0</v>
      </c>
    </row>
    <row r="35" spans="1:13" ht="30" customHeight="1" x14ac:dyDescent="0.25">
      <c r="A35" s="42">
        <v>33</v>
      </c>
      <c r="B35" s="37"/>
      <c r="C35" s="4">
        <f>'Controle adm. dos cursos'!B35</f>
        <v>0</v>
      </c>
      <c r="D35" s="5">
        <f>'Controle adm. dos cursos'!C35</f>
        <v>0</v>
      </c>
      <c r="E35" s="13"/>
      <c r="F35" s="2"/>
      <c r="G35" s="2"/>
      <c r="H35" s="2"/>
      <c r="I35" s="72" t="e">
        <f>(Tabela3[[#This Row],[Formados]]*100)/Tabela3[[#This Row],[Matriculados]]</f>
        <v>#DIV/0!</v>
      </c>
      <c r="J35" s="2"/>
      <c r="K35" s="2"/>
      <c r="L35" s="2"/>
      <c r="M35" s="7"/>
    </row>
    <row r="36" spans="1:13" ht="30" customHeight="1" x14ac:dyDescent="0.25">
      <c r="A36" s="42">
        <v>34</v>
      </c>
      <c r="B36" s="37"/>
      <c r="C36" s="4">
        <f>'Controle adm. dos cursos'!B36</f>
        <v>0</v>
      </c>
      <c r="D36" s="5">
        <f>'Controle adm. dos cursos'!C36</f>
        <v>0</v>
      </c>
      <c r="E36" s="13"/>
      <c r="F36" s="2"/>
      <c r="G36" s="2"/>
      <c r="H36" s="2"/>
      <c r="I36" s="72" t="e">
        <f>(Tabela3[[#This Row],[Formados]]*100)/Tabela3[[#This Row],[Matriculados]]</f>
        <v>#DIV/0!</v>
      </c>
      <c r="J36" s="2"/>
      <c r="K36" s="2"/>
      <c r="L36" s="2"/>
      <c r="M36" s="7"/>
    </row>
    <row r="37" spans="1:13" ht="30" customHeight="1" x14ac:dyDescent="0.25">
      <c r="A37" s="42">
        <v>35</v>
      </c>
      <c r="B37" s="37"/>
      <c r="C37" s="4">
        <f>'Controle adm. dos cursos'!B37</f>
        <v>0</v>
      </c>
      <c r="D37" s="5">
        <f>'Controle adm. dos cursos'!C37</f>
        <v>0</v>
      </c>
      <c r="E37" s="13"/>
      <c r="F37" s="2"/>
      <c r="G37" s="2"/>
      <c r="H37" s="2"/>
      <c r="I37" s="72" t="e">
        <f>(Tabela3[[#This Row],[Formados]]*100)/Tabela3[[#This Row],[Matriculados]]</f>
        <v>#DIV/0!</v>
      </c>
      <c r="J37" s="2"/>
      <c r="K37" s="2"/>
      <c r="L37" s="2"/>
      <c r="M37" s="7"/>
    </row>
    <row r="38" spans="1:13" ht="30" customHeight="1" x14ac:dyDescent="0.25">
      <c r="A38" s="42">
        <v>36</v>
      </c>
      <c r="B38" s="37"/>
      <c r="C38" s="4">
        <f>'Controle adm. dos cursos'!B38</f>
        <v>0</v>
      </c>
      <c r="D38" s="5">
        <f>'Controle adm. dos cursos'!C38</f>
        <v>0</v>
      </c>
      <c r="E38" s="13"/>
      <c r="F38" s="2"/>
      <c r="G38" s="2"/>
      <c r="H38" s="2"/>
      <c r="I38" s="72" t="e">
        <f>(Tabela3[[#This Row],[Formados]]*100)/Tabela3[[#This Row],[Matriculados]]</f>
        <v>#DIV/0!</v>
      </c>
      <c r="J38" s="2"/>
      <c r="K38" s="2"/>
      <c r="L38" s="2"/>
      <c r="M38" s="7"/>
    </row>
    <row r="39" spans="1:13" ht="30" customHeight="1" x14ac:dyDescent="0.25">
      <c r="A39" s="42">
        <v>37</v>
      </c>
      <c r="B39" s="37"/>
      <c r="C39" s="4">
        <f>'Controle adm. dos cursos'!B39</f>
        <v>0</v>
      </c>
      <c r="D39" s="5">
        <f>'Controle adm. dos cursos'!C39</f>
        <v>0</v>
      </c>
      <c r="E39" s="13"/>
      <c r="F39" s="2"/>
      <c r="G39" s="2"/>
      <c r="H39" s="2"/>
      <c r="I39" s="72" t="e">
        <f>(Tabela3[[#This Row],[Formados]]*100)/Tabela3[[#This Row],[Matriculados]]</f>
        <v>#DIV/0!</v>
      </c>
      <c r="J39" s="2"/>
      <c r="K39" s="2"/>
      <c r="L39" s="2"/>
      <c r="M39" s="7"/>
    </row>
    <row r="40" spans="1:13" ht="30" customHeight="1" x14ac:dyDescent="0.25">
      <c r="A40" s="42">
        <v>38</v>
      </c>
      <c r="B40" s="37"/>
      <c r="C40" s="4">
        <f>'Controle adm. dos cursos'!B40</f>
        <v>0</v>
      </c>
      <c r="D40" s="5">
        <f>'Controle adm. dos cursos'!C40</f>
        <v>0</v>
      </c>
      <c r="E40" s="13"/>
      <c r="F40" s="2"/>
      <c r="G40" s="2"/>
      <c r="H40" s="2"/>
      <c r="I40" s="72" t="e">
        <f>(Tabela3[[#This Row],[Formados]]*100)/Tabela3[[#This Row],[Matriculados]]</f>
        <v>#DIV/0!</v>
      </c>
      <c r="J40" s="2"/>
      <c r="K40" s="2"/>
      <c r="L40" s="2"/>
      <c r="M40" s="7"/>
    </row>
    <row r="41" spans="1:13" ht="30" customHeight="1" x14ac:dyDescent="0.25">
      <c r="A41" s="42">
        <v>39</v>
      </c>
      <c r="B41" s="37"/>
      <c r="C41" s="4">
        <f>'Controle adm. dos cursos'!B41</f>
        <v>0</v>
      </c>
      <c r="D41" s="5">
        <f>'Controle adm. dos cursos'!C41</f>
        <v>0</v>
      </c>
      <c r="E41" s="13"/>
      <c r="F41" s="2"/>
      <c r="G41" s="2"/>
      <c r="H41" s="2"/>
      <c r="I41" s="72" t="e">
        <f>(Tabela3[[#This Row],[Formados]]*100)/Tabela3[[#This Row],[Matriculados]]</f>
        <v>#DIV/0!</v>
      </c>
      <c r="J41" s="2"/>
      <c r="K41" s="2"/>
      <c r="L41" s="2"/>
      <c r="M41" s="7"/>
    </row>
    <row r="42" spans="1:13" ht="30" customHeight="1" x14ac:dyDescent="0.25">
      <c r="A42" s="42">
        <v>40</v>
      </c>
      <c r="B42" s="37"/>
      <c r="C42" s="4">
        <f>'Controle adm. dos cursos'!B42</f>
        <v>0</v>
      </c>
      <c r="D42" s="5">
        <f>'Controle adm. dos cursos'!C42</f>
        <v>0</v>
      </c>
      <c r="E42" s="13"/>
      <c r="F42" s="2"/>
      <c r="G42" s="2"/>
      <c r="H42" s="2"/>
      <c r="I42" s="72" t="e">
        <f>(Tabela3[[#This Row],[Formados]]*100)/Tabela3[[#This Row],[Matriculados]]</f>
        <v>#DIV/0!</v>
      </c>
      <c r="J42" s="2"/>
      <c r="K42" s="2"/>
      <c r="L42" s="2"/>
      <c r="M42" s="7"/>
    </row>
    <row r="43" spans="1:13" ht="30" customHeight="1" x14ac:dyDescent="0.25">
      <c r="A43" s="42">
        <v>41</v>
      </c>
      <c r="B43" s="37"/>
      <c r="C43" s="4">
        <f>'Controle adm. dos cursos'!B43</f>
        <v>0</v>
      </c>
      <c r="D43" s="5">
        <f>'Controle adm. dos cursos'!C43</f>
        <v>0</v>
      </c>
      <c r="E43" s="13"/>
      <c r="F43" s="2"/>
      <c r="G43" s="2"/>
      <c r="H43" s="2"/>
      <c r="I43" s="72" t="e">
        <f>(Tabela3[[#This Row],[Formados]]*100)/Tabela3[[#This Row],[Matriculados]]</f>
        <v>#DIV/0!</v>
      </c>
      <c r="J43" s="2"/>
      <c r="K43" s="2"/>
      <c r="L43" s="2"/>
      <c r="M43" s="7"/>
    </row>
    <row r="44" spans="1:13" ht="30" customHeight="1" x14ac:dyDescent="0.25">
      <c r="A44" s="42">
        <v>42</v>
      </c>
      <c r="B44" s="37"/>
      <c r="C44" s="4">
        <f>'Controle adm. dos cursos'!B44</f>
        <v>0</v>
      </c>
      <c r="D44" s="5">
        <f>'Controle adm. dos cursos'!C44</f>
        <v>0</v>
      </c>
      <c r="E44" s="13"/>
      <c r="F44" s="2"/>
      <c r="G44" s="2"/>
      <c r="H44" s="2"/>
      <c r="I44" s="72" t="e">
        <f>(Tabela3[[#This Row],[Formados]]*100)/Tabela3[[#This Row],[Matriculados]]</f>
        <v>#DIV/0!</v>
      </c>
      <c r="J44" s="2"/>
      <c r="K44" s="2"/>
      <c r="L44" s="2"/>
      <c r="M44" s="7"/>
    </row>
    <row r="45" spans="1:13" ht="30" customHeight="1" x14ac:dyDescent="0.25">
      <c r="A45" s="42">
        <v>43</v>
      </c>
      <c r="B45" s="39"/>
      <c r="C45" s="4">
        <f>'Controle adm. dos cursos'!B45</f>
        <v>0</v>
      </c>
      <c r="D45" s="5">
        <f>'Controle adm. dos cursos'!C45</f>
        <v>0</v>
      </c>
      <c r="E45" s="13"/>
      <c r="F45" s="2"/>
      <c r="G45" s="2"/>
      <c r="H45" s="2"/>
      <c r="I45" s="72" t="e">
        <f>(Tabela3[[#This Row],[Formados]]*100)/Tabela3[[#This Row],[Matriculados]]</f>
        <v>#DIV/0!</v>
      </c>
      <c r="J45" s="2"/>
      <c r="K45" s="2"/>
      <c r="L45" s="2"/>
      <c r="M45" s="7"/>
    </row>
    <row r="46" spans="1:13" ht="30" customHeight="1" x14ac:dyDescent="0.25">
      <c r="A46" s="42">
        <v>44</v>
      </c>
      <c r="B46" s="39"/>
      <c r="C46" s="4">
        <f>'Controle adm. dos cursos'!B46</f>
        <v>0</v>
      </c>
      <c r="D46" s="5">
        <f>'Controle adm. dos cursos'!C46</f>
        <v>0</v>
      </c>
      <c r="E46" s="13"/>
      <c r="F46" s="2"/>
      <c r="G46" s="2"/>
      <c r="H46" s="2"/>
      <c r="I46" s="72" t="e">
        <f>(Tabela3[[#This Row],[Formados]]*100)/Tabela3[[#This Row],[Matriculados]]</f>
        <v>#DIV/0!</v>
      </c>
      <c r="J46" s="2"/>
      <c r="K46" s="2"/>
      <c r="L46" s="2"/>
      <c r="M46" s="7"/>
    </row>
    <row r="47" spans="1:13" ht="30" customHeight="1" x14ac:dyDescent="0.25">
      <c r="A47" s="42">
        <v>45</v>
      </c>
      <c r="B47" s="39"/>
      <c r="C47" s="4">
        <f>'Controle adm. dos cursos'!B47</f>
        <v>0</v>
      </c>
      <c r="D47" s="5">
        <f>'Controle adm. dos cursos'!C47</f>
        <v>0</v>
      </c>
      <c r="E47" s="13"/>
      <c r="F47" s="2"/>
      <c r="G47" s="2"/>
      <c r="H47" s="2"/>
      <c r="I47" s="72" t="e">
        <f>(Tabela3[[#This Row],[Formados]]*100)/Tabela3[[#This Row],[Matriculados]]</f>
        <v>#DIV/0!</v>
      </c>
      <c r="J47" s="2"/>
      <c r="K47" s="2"/>
      <c r="L47" s="2"/>
      <c r="M47" s="7"/>
    </row>
    <row r="48" spans="1:13" ht="30" customHeight="1" x14ac:dyDescent="0.25">
      <c r="A48" s="42">
        <v>46</v>
      </c>
      <c r="B48" s="39"/>
      <c r="C48" s="4">
        <f>'Controle adm. dos cursos'!B48</f>
        <v>0</v>
      </c>
      <c r="D48" s="5">
        <f>'Controle adm. dos cursos'!C48</f>
        <v>0</v>
      </c>
      <c r="E48" s="13"/>
      <c r="F48" s="2"/>
      <c r="G48" s="2"/>
      <c r="H48" s="2"/>
      <c r="I48" s="72" t="e">
        <f>(Tabela3[[#This Row],[Formados]]*100)/Tabela3[[#This Row],[Matriculados]]</f>
        <v>#DIV/0!</v>
      </c>
      <c r="J48" s="2"/>
      <c r="K48" s="2"/>
      <c r="L48" s="2"/>
      <c r="M48" s="7"/>
    </row>
    <row r="49" spans="1:13" ht="30" customHeight="1" x14ac:dyDescent="0.25">
      <c r="A49" s="42">
        <v>47</v>
      </c>
      <c r="B49" s="39"/>
      <c r="C49" s="4">
        <f>'Controle adm. dos cursos'!B49</f>
        <v>0</v>
      </c>
      <c r="D49" s="5">
        <f>'Controle adm. dos cursos'!C49</f>
        <v>0</v>
      </c>
      <c r="E49" s="13"/>
      <c r="F49" s="2"/>
      <c r="G49" s="2"/>
      <c r="H49" s="2"/>
      <c r="I49" s="72" t="e">
        <f>(Tabela3[[#This Row],[Formados]]*100)/Tabela3[[#This Row],[Matriculados]]</f>
        <v>#DIV/0!</v>
      </c>
      <c r="J49" s="2"/>
      <c r="K49" s="2"/>
      <c r="L49" s="2"/>
      <c r="M49" s="7"/>
    </row>
    <row r="50" spans="1:13" ht="30" customHeight="1" x14ac:dyDescent="0.25">
      <c r="A50" s="42">
        <v>48</v>
      </c>
      <c r="B50" s="39"/>
      <c r="C50" s="4">
        <f>'Controle adm. dos cursos'!B50</f>
        <v>0</v>
      </c>
      <c r="D50" s="5">
        <f>'Controle adm. dos cursos'!C50</f>
        <v>0</v>
      </c>
      <c r="E50" s="13"/>
      <c r="F50" s="2"/>
      <c r="G50" s="2"/>
      <c r="H50" s="2"/>
      <c r="I50" s="72" t="e">
        <f>(Tabela3[[#This Row],[Formados]]*100)/Tabela3[[#This Row],[Matriculados]]</f>
        <v>#DIV/0!</v>
      </c>
      <c r="J50" s="2"/>
      <c r="K50" s="2"/>
      <c r="L50" s="2"/>
      <c r="M50" s="7"/>
    </row>
  </sheetData>
  <dataConsolidate/>
  <dataValidations count="1">
    <dataValidation type="list" allowBlank="1" showInputMessage="1" showErrorMessage="1" sqref="E3:E50">
      <formula1>"Presencial,Semipresencial,A Distância"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80" zoomScaleNormal="80" workbookViewId="0">
      <selection activeCell="F17" sqref="F17"/>
    </sheetView>
  </sheetViews>
  <sheetFormatPr defaultRowHeight="23.25" x14ac:dyDescent="0.25"/>
  <cols>
    <col min="1" max="1" width="58" style="16" customWidth="1"/>
    <col min="2" max="5" width="25.7109375" style="1" customWidth="1"/>
    <col min="6" max="6" width="12.42578125" style="1" bestFit="1" customWidth="1"/>
    <col min="7" max="10" width="25.7109375" style="1" customWidth="1"/>
    <col min="11" max="16384" width="9.140625" style="1"/>
  </cols>
  <sheetData>
    <row r="1" spans="1:10" s="17" customFormat="1" ht="50.25" customHeight="1" thickBot="1" x14ac:dyDescent="0.3">
      <c r="A1" s="91" t="s">
        <v>181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s="17" customFormat="1" ht="31.5" x14ac:dyDescent="0.25">
      <c r="A2" s="18"/>
      <c r="B2" s="94" t="s">
        <v>220</v>
      </c>
      <c r="C2" s="94" t="s">
        <v>190</v>
      </c>
      <c r="D2" s="94"/>
      <c r="E2" s="94"/>
      <c r="F2" s="94"/>
      <c r="G2" s="94"/>
      <c r="H2" s="94"/>
      <c r="I2" s="94"/>
      <c r="J2" s="95"/>
    </row>
    <row r="3" spans="1:10" ht="70.5" thickBot="1" x14ac:dyDescent="0.4">
      <c r="A3" s="19"/>
      <c r="B3" s="94"/>
      <c r="C3" s="20" t="s">
        <v>137</v>
      </c>
      <c r="D3" s="20" t="s">
        <v>138</v>
      </c>
      <c r="E3" s="20" t="s">
        <v>145</v>
      </c>
      <c r="F3" s="74" t="s">
        <v>232</v>
      </c>
      <c r="G3" s="20" t="s">
        <v>140</v>
      </c>
      <c r="H3" s="20" t="s">
        <v>141</v>
      </c>
      <c r="I3" s="20" t="s">
        <v>160</v>
      </c>
      <c r="J3" s="21" t="s">
        <v>161</v>
      </c>
    </row>
    <row r="4" spans="1:10" ht="24" thickBot="1" x14ac:dyDescent="0.3">
      <c r="A4" s="31" t="s">
        <v>182</v>
      </c>
      <c r="B4" s="32">
        <f>COUNT(Tabela2[Ano])</f>
        <v>32</v>
      </c>
      <c r="C4" s="32">
        <f>'Resumo dos cursos'!F1</f>
        <v>4942</v>
      </c>
      <c r="D4" s="32">
        <f>'Resumo dos cursos'!G1</f>
        <v>4917</v>
      </c>
      <c r="E4" s="32">
        <f>'Resumo dos cursos'!H1</f>
        <v>2688</v>
      </c>
      <c r="F4" s="75">
        <f>((E4*100)/D4)</f>
        <v>54.667480170835873</v>
      </c>
      <c r="G4" s="32">
        <f>'Resumo dos cursos'!J1</f>
        <v>406</v>
      </c>
      <c r="H4" s="32">
        <f>'Resumo dos cursos'!K1</f>
        <v>840</v>
      </c>
      <c r="I4" s="32">
        <f>'Resumo dos cursos'!L1</f>
        <v>495</v>
      </c>
      <c r="J4" s="33">
        <f>'Resumo dos cursos'!M1</f>
        <v>471</v>
      </c>
    </row>
    <row r="5" spans="1:10" x14ac:dyDescent="0.25">
      <c r="A5" s="34" t="s">
        <v>178</v>
      </c>
      <c r="B5" s="35">
        <f>COUNTIF(Tabela3[Modalidade de Ensino],"Presencial")</f>
        <v>0</v>
      </c>
      <c r="C5" s="35">
        <f>SUMIF('Resumo dos cursos'!$E$3:$E$50,"Presencial",'Resumo dos cursos'!F3:F50)</f>
        <v>0</v>
      </c>
      <c r="D5" s="35">
        <f>SUMIF('Resumo dos cursos'!$E$3:$E$50,"Presencial",'Resumo dos cursos'!G3:G50)</f>
        <v>0</v>
      </c>
      <c r="E5" s="35">
        <f>SUMIF('Resumo dos cursos'!$E$3:$E$50,"Presencial",'Resumo dos cursos'!H3:H50)</f>
        <v>0</v>
      </c>
      <c r="F5" s="76">
        <v>0</v>
      </c>
      <c r="G5" s="35">
        <f>SUMIF('Resumo dos cursos'!$E$3:$E$50,"Presencial",'Resumo dos cursos'!J3:J50)</f>
        <v>0</v>
      </c>
      <c r="H5" s="35">
        <f>SUMIF('Resumo dos cursos'!$E$3:$E$50,"Presencial",'Resumo dos cursos'!K3:K50)</f>
        <v>0</v>
      </c>
      <c r="I5" s="35">
        <f>SUMIF('Resumo dos cursos'!$E$3:$E$50,"Presencial",'Resumo dos cursos'!L3:L50)</f>
        <v>0</v>
      </c>
      <c r="J5" s="36">
        <f>SUMIF('Resumo dos cursos'!$E$3:$E$50,"Presencial",'Resumo dos cursos'!M3:M50)</f>
        <v>0</v>
      </c>
    </row>
    <row r="6" spans="1:10" x14ac:dyDescent="0.25">
      <c r="A6" s="24" t="s">
        <v>180</v>
      </c>
      <c r="B6" s="22">
        <f>COUNTIF(Tabela3[Modalidade de Ensino],"A Distância")</f>
        <v>24</v>
      </c>
      <c r="C6" s="22">
        <f>SUMIF('Resumo dos cursos'!$E$3:$E$50,"A Distância",'Resumo dos cursos'!F3:F50)</f>
        <v>3906</v>
      </c>
      <c r="D6" s="22">
        <f>SUMIF('Resumo dos cursos'!$E$3:$E$50,"A Distância",'Resumo dos cursos'!G3:G50)</f>
        <v>3881</v>
      </c>
      <c r="E6" s="22">
        <f>SUMIF('Resumo dos cursos'!$E$3:$E$50,"A Distância",'Resumo dos cursos'!H3:H50)</f>
        <v>2090</v>
      </c>
      <c r="F6" s="77">
        <f t="shared" ref="F6:F13" si="0">((E6*100)/D6)</f>
        <v>53.852099974233447</v>
      </c>
      <c r="G6" s="22">
        <f>SUMIF('Resumo dos cursos'!$E$3:$E$50,"A Distância",'Resumo dos cursos'!J3:J50)</f>
        <v>316</v>
      </c>
      <c r="H6" s="22">
        <f>SUMIF('Resumo dos cursos'!$E$3:$E$50,"A Distância",'Resumo dos cursos'!K3:K50)</f>
        <v>557</v>
      </c>
      <c r="I6" s="22">
        <f>SUMIF('Resumo dos cursos'!$E$3:$E$50,"A Distância",'Resumo dos cursos'!L3:L50)</f>
        <v>481</v>
      </c>
      <c r="J6" s="23">
        <f>SUMIF('Resumo dos cursos'!$E$3:$E$50,"A Distância",'Resumo dos cursos'!M3:M50)</f>
        <v>450</v>
      </c>
    </row>
    <row r="7" spans="1:10" ht="24" thickBot="1" x14ac:dyDescent="0.3">
      <c r="A7" s="25" t="s">
        <v>179</v>
      </c>
      <c r="B7" s="26">
        <f>COUNTIF(Tabela3[Modalidade de Ensino],"Semipresencial")</f>
        <v>8</v>
      </c>
      <c r="C7" s="26">
        <f>SUMIF('Resumo dos cursos'!$E$3:$E$50,"Semipresencial",'Resumo dos cursos'!F3:F50)</f>
        <v>1036</v>
      </c>
      <c r="D7" s="26">
        <f>SUMIF('Resumo dos cursos'!$E$3:$E$50,"Semipresencial",'Resumo dos cursos'!G3:G50)</f>
        <v>1036</v>
      </c>
      <c r="E7" s="26">
        <f>SUMIF('Resumo dos cursos'!$E$3:$E$50,"Semipresencial",'Resumo dos cursos'!H3:H50)</f>
        <v>598</v>
      </c>
      <c r="F7" s="78">
        <f t="shared" si="0"/>
        <v>57.722007722007724</v>
      </c>
      <c r="G7" s="26">
        <f>SUMIF('Resumo dos cursos'!$E$3:$E$50,"Semipresencial",'Resumo dos cursos'!J3:J50)</f>
        <v>90</v>
      </c>
      <c r="H7" s="26">
        <f>SUMIF('Resumo dos cursos'!$E$3:$E$50,"Semipresencial",'Resumo dos cursos'!K3:K50)</f>
        <v>283</v>
      </c>
      <c r="I7" s="26">
        <f>SUMIF('Resumo dos cursos'!$E$3:$E$50,"Semipresencial",'Resumo dos cursos'!L3:L50)</f>
        <v>14</v>
      </c>
      <c r="J7" s="27">
        <f>SUMIF('Resumo dos cursos'!$E$3:$E$50,"Semipresencial",'Resumo dos cursos'!M3:M50)</f>
        <v>21</v>
      </c>
    </row>
    <row r="8" spans="1:10" x14ac:dyDescent="0.25">
      <c r="A8" s="28" t="s">
        <v>183</v>
      </c>
      <c r="B8" s="29">
        <f>COUNTIF(Tabela3[Ano],"2014")</f>
        <v>4</v>
      </c>
      <c r="C8" s="29">
        <f>SUMIF('Resumo dos cursos'!$D$3:$D$50,"2014",Tabela3[Inscritos])</f>
        <v>566</v>
      </c>
      <c r="D8" s="29">
        <f>SUMIF('Resumo dos cursos'!$D$3:$D$50,"2014",Tabela3[Matriculados])</f>
        <v>566</v>
      </c>
      <c r="E8" s="29">
        <f>SUMIF('Resumo dos cursos'!$D$3:$D$50,"2014",Tabela3[Formados])</f>
        <v>164</v>
      </c>
      <c r="F8" s="76">
        <f t="shared" si="0"/>
        <v>28.975265017667844</v>
      </c>
      <c r="G8" s="29">
        <f>SUMIF('Resumo dos cursos'!$D$3:$D$50,"2014",Tabela3[Reprovados])</f>
        <v>75</v>
      </c>
      <c r="H8" s="29">
        <f>SUMIF('Resumo dos cursos'!$D$3:$D$50,"2014",Tabela3[Desistentes])</f>
        <v>309</v>
      </c>
      <c r="I8" s="29">
        <f>SUMIF('Resumo dos cursos'!$D$3:$D$50,"2014",Tabela3[Não responderam o 1º questionário])</f>
        <v>0</v>
      </c>
      <c r="J8" s="30">
        <f>SUMIF('Resumo dos cursos'!$D$3:$D$50,"2014",Tabela3[Nunca acessaram o curso])</f>
        <v>0</v>
      </c>
    </row>
    <row r="9" spans="1:10" x14ac:dyDescent="0.25">
      <c r="A9" s="24" t="s">
        <v>184</v>
      </c>
      <c r="B9" s="22">
        <f>COUNTIF(Tabela3[Ano],"2015")</f>
        <v>2</v>
      </c>
      <c r="C9" s="22">
        <f>SUMIF('Resumo dos cursos'!$D$3:$D$50,"2015",Tabela3[Inscritos])</f>
        <v>192</v>
      </c>
      <c r="D9" s="22">
        <f>SUMIF('Resumo dos cursos'!$D$3:$D$50,"2015",Tabela3[Matriculados])</f>
        <v>192</v>
      </c>
      <c r="E9" s="22">
        <f>SUMIF('Resumo dos cursos'!$D$3:$D$50,"2015",Tabela3[Formados])</f>
        <v>119</v>
      </c>
      <c r="F9" s="77">
        <f t="shared" si="0"/>
        <v>61.979166666666664</v>
      </c>
      <c r="G9" s="22">
        <f>SUMIF('Resumo dos cursos'!$D$3:$D$50,"2015",Tabela3[Reprovados])</f>
        <v>73</v>
      </c>
      <c r="H9" s="22">
        <f>SUMIF('Resumo dos cursos'!$D$3:$D$50,"2015",Tabela3[Desistentes])</f>
        <v>0</v>
      </c>
      <c r="I9" s="22">
        <f>SUMIF('Resumo dos cursos'!$D$3:$D$50,"2015",Tabela3[Não responderam o 1º questionário])</f>
        <v>0</v>
      </c>
      <c r="J9" s="23">
        <f>SUMIF('Resumo dos cursos'!$D$3:$D$50,"2015",Tabela3[Nunca acessaram o curso])</f>
        <v>0</v>
      </c>
    </row>
    <row r="10" spans="1:10" x14ac:dyDescent="0.25">
      <c r="A10" s="24" t="s">
        <v>185</v>
      </c>
      <c r="B10" s="22">
        <f>COUNTIF(Tabela3[Ano],"2016")</f>
        <v>5</v>
      </c>
      <c r="C10" s="22">
        <f>SUMIF('Resumo dos cursos'!$D$3:$D$50,"2016",Tabela3[Inscritos])</f>
        <v>767</v>
      </c>
      <c r="D10" s="22">
        <f>SUMIF('Resumo dos cursos'!$D$3:$D$50,"2016",Tabela3[Matriculados])</f>
        <v>767</v>
      </c>
      <c r="E10" s="22">
        <f>SUMIF('Resumo dos cursos'!$D$3:$D$50,"2016",Tabela3[Formados])</f>
        <v>549</v>
      </c>
      <c r="F10" s="77">
        <f t="shared" si="0"/>
        <v>71.577574967405482</v>
      </c>
      <c r="G10" s="22">
        <f>SUMIF('Resumo dos cursos'!$D$3:$D$50,"2016",Tabela3[Reprovados])</f>
        <v>75</v>
      </c>
      <c r="H10" s="22">
        <f>SUMIF('Resumo dos cursos'!$D$3:$D$50,"2016",Tabela3[Desistentes])</f>
        <v>44</v>
      </c>
      <c r="I10" s="22">
        <f>SUMIF('Resumo dos cursos'!$D$3:$D$50,"2016",Tabela3[Não responderam o 1º questionário])</f>
        <v>29</v>
      </c>
      <c r="J10" s="23">
        <f>SUMIF('Resumo dos cursos'!$D$3:$D$50,"2016",Tabela3[Nunca acessaram o curso])</f>
        <v>31</v>
      </c>
    </row>
    <row r="11" spans="1:10" x14ac:dyDescent="0.25">
      <c r="A11" s="24" t="s">
        <v>186</v>
      </c>
      <c r="B11" s="22">
        <f>COUNTIF(Tabela3[Ano],"2017")</f>
        <v>13</v>
      </c>
      <c r="C11" s="22">
        <f>SUMIF('Resumo dos cursos'!$D$3:$D$50,"2017",Tabela3[Inscritos])</f>
        <v>2172</v>
      </c>
      <c r="D11" s="22">
        <f>SUMIF('Resumo dos cursos'!$D$3:$D$50,"2017",Tabela3[Matriculados])</f>
        <v>2172</v>
      </c>
      <c r="E11" s="22">
        <f>SUMIF('Resumo dos cursos'!$D$3:$D$50,"2017",Tabela3[Formados])</f>
        <v>1243</v>
      </c>
      <c r="F11" s="77">
        <f t="shared" si="0"/>
        <v>57.228360957642728</v>
      </c>
      <c r="G11" s="22">
        <f>SUMIF('Resumo dos cursos'!$D$3:$D$50,"2017",Tabela3[Reprovados])</f>
        <v>85</v>
      </c>
      <c r="H11" s="22">
        <f>SUMIF('Resumo dos cursos'!$D$3:$D$50,"2017",Tabela3[Desistentes])</f>
        <v>383</v>
      </c>
      <c r="I11" s="22">
        <f>SUMIF('Resumo dos cursos'!$D$3:$D$50,"2017",Tabela3[Não responderam o 1º questionário])</f>
        <v>292</v>
      </c>
      <c r="J11" s="23">
        <f>SUMIF('Resumo dos cursos'!$D$3:$D$50,"2017",Tabela3[Nunca acessaram o curso])</f>
        <v>189</v>
      </c>
    </row>
    <row r="12" spans="1:10" x14ac:dyDescent="0.25">
      <c r="A12" s="24" t="s">
        <v>187</v>
      </c>
      <c r="B12" s="22">
        <f>COUNTIF(Tabela3[Ano],"2018")</f>
        <v>7</v>
      </c>
      <c r="C12" s="22">
        <f>SUMIF('Resumo dos cursos'!$D$3:$D$50,"2018",Tabela3[Inscritos])</f>
        <v>1203</v>
      </c>
      <c r="D12" s="22">
        <f>SUMIF('Resumo dos cursos'!$D$3:$D$50,"2018",Tabela3[Matriculados])</f>
        <v>1203</v>
      </c>
      <c r="E12" s="22">
        <f>SUMIF('Resumo dos cursos'!$D$3:$D$50,"2018",Tabela3[Formados])</f>
        <v>597</v>
      </c>
      <c r="F12" s="77">
        <f t="shared" si="0"/>
        <v>49.625935162094763</v>
      </c>
      <c r="G12" s="22">
        <f>SUMIF('Resumo dos cursos'!$D$3:$D$50,"2018",Tabela3[Reprovados])</f>
        <v>97</v>
      </c>
      <c r="H12" s="22">
        <f>SUMIF('Resumo dos cursos'!$D$3:$D$50,"2018",Tabela3[Desistentes])</f>
        <v>104</v>
      </c>
      <c r="I12" s="22">
        <f>SUMIF('Resumo dos cursos'!$D$3:$D$50,"2018",Tabela3[Não responderam o 1º questionário])</f>
        <v>174</v>
      </c>
      <c r="J12" s="23">
        <f>SUMIF('Resumo dos cursos'!$D$3:$D$50,"2018",Tabela3[Nunca acessaram o curso])</f>
        <v>251</v>
      </c>
    </row>
    <row r="13" spans="1:10" ht="24" thickBot="1" x14ac:dyDescent="0.3">
      <c r="A13" s="25" t="s">
        <v>188</v>
      </c>
      <c r="B13" s="26">
        <f>COUNTIF(Tabela3[Ano],"2019")</f>
        <v>1</v>
      </c>
      <c r="C13" s="26">
        <f>SUMIF('Resumo dos cursos'!$D$3:$D$50,"2019",Tabela3[Inscritos])</f>
        <v>42</v>
      </c>
      <c r="D13" s="26">
        <f>SUMIF('Resumo dos cursos'!$D$3:$D$50,"2019",Tabela3[Matriculados])</f>
        <v>17</v>
      </c>
      <c r="E13" s="26">
        <f>SUMIF('Resumo dos cursos'!$D$3:$D$50,"2019",Tabela3[Formados])</f>
        <v>16</v>
      </c>
      <c r="F13" s="78">
        <f t="shared" si="0"/>
        <v>94.117647058823536</v>
      </c>
      <c r="G13" s="26">
        <f>SUMIF('Resumo dos cursos'!$D$3:$D$50,"2019",Tabela3[Reprovados])</f>
        <v>1</v>
      </c>
      <c r="H13" s="26">
        <f>SUMIF('Resumo dos cursos'!$D$3:$D$50,"2019",Tabela3[Desistentes])</f>
        <v>0</v>
      </c>
      <c r="I13" s="26">
        <f>SUMIF('Resumo dos cursos'!$D$3:$D$50,"2019",Tabela3[Não responderam o 1º questionário])</f>
        <v>0</v>
      </c>
      <c r="J13" s="27">
        <f>SUMIF('Resumo dos cursos'!$D$3:$D$50,"2019",Tabela3[Nunca acessaram o curso])</f>
        <v>0</v>
      </c>
    </row>
    <row r="14" spans="1:10" ht="24" thickBot="1" x14ac:dyDescent="0.3"/>
    <row r="15" spans="1:10" ht="24" thickBot="1" x14ac:dyDescent="0.3">
      <c r="A15" s="96" t="s">
        <v>205</v>
      </c>
      <c r="B15" s="97"/>
    </row>
    <row r="16" spans="1:10" x14ac:dyDescent="0.25">
      <c r="A16" s="57" t="s">
        <v>220</v>
      </c>
      <c r="B16" s="58">
        <f>SUM(B18:B32)</f>
        <v>32</v>
      </c>
    </row>
    <row r="17" spans="1:2" ht="24" thickBot="1" x14ac:dyDescent="0.3">
      <c r="A17" s="56" t="s">
        <v>189</v>
      </c>
      <c r="B17" s="40">
        <f>COUNT(B18:B32)</f>
        <v>12</v>
      </c>
    </row>
    <row r="18" spans="1:2" x14ac:dyDescent="0.25">
      <c r="A18" s="34" t="s">
        <v>204</v>
      </c>
      <c r="B18" s="50">
        <f>COUNTIF(Tabela3[Nome],"Brigadista - Mga")</f>
        <v>3</v>
      </c>
    </row>
    <row r="19" spans="1:2" x14ac:dyDescent="0.25">
      <c r="A19" s="24" t="s">
        <v>195</v>
      </c>
      <c r="B19" s="23">
        <f>COUNTIF(Tabela3[Nome],"Brigadista - PI/PA")</f>
        <v>1</v>
      </c>
    </row>
    <row r="20" spans="1:2" x14ac:dyDescent="0.25">
      <c r="A20" s="24" t="s">
        <v>199</v>
      </c>
      <c r="B20" s="23">
        <f>COUNTIF(Tabela3[Nome],"Brigadista - UNESPAR")</f>
        <v>1</v>
      </c>
    </row>
    <row r="21" spans="1:2" x14ac:dyDescent="0.25">
      <c r="A21" s="24" t="s">
        <v>192</v>
      </c>
      <c r="B21" s="23">
        <f>COUNTIF(Tabela3[Nome],"Capacitação Recursos")</f>
        <v>3</v>
      </c>
    </row>
    <row r="22" spans="1:2" x14ac:dyDescent="0.25">
      <c r="A22" s="24" t="s">
        <v>203</v>
      </c>
      <c r="B22" s="23">
        <f>COUNTIF(Tabela3[Nome],"Condutor Viaturas")</f>
        <v>1</v>
      </c>
    </row>
    <row r="23" spans="1:2" x14ac:dyDescent="0.25">
      <c r="A23" s="24" t="s">
        <v>202</v>
      </c>
      <c r="B23" s="23">
        <f>COUNTIF(Tabela3[Nome],"Contingência On-Line")</f>
        <v>2</v>
      </c>
    </row>
    <row r="24" spans="1:2" x14ac:dyDescent="0.25">
      <c r="A24" s="24" t="s">
        <v>225</v>
      </c>
      <c r="B24" s="23">
        <f>COUNTIF(Tabela3[Nome],"Fundamental")</f>
        <v>4</v>
      </c>
    </row>
    <row r="25" spans="1:2" x14ac:dyDescent="0.25">
      <c r="A25" s="24" t="s">
        <v>197</v>
      </c>
      <c r="B25" s="23">
        <f>COUNTIF(Tabela3[Nome],"REER")</f>
        <v>4</v>
      </c>
    </row>
    <row r="26" spans="1:2" x14ac:dyDescent="0.25">
      <c r="A26" s="24" t="s">
        <v>200</v>
      </c>
      <c r="B26" s="23">
        <f>COUNTIF(Tabela3[Nome],"Saúde Mental")</f>
        <v>4</v>
      </c>
    </row>
    <row r="27" spans="1:2" x14ac:dyDescent="0.25">
      <c r="A27" s="24" t="s">
        <v>193</v>
      </c>
      <c r="B27" s="23">
        <f>COUNTIF(Tabela3[Nome],"SCI")+COUNTIF(Tabela3[Nome],"SCI - SESA")+COUNTIF(Tabela3[Nome],"SCI - SANEPAR")</f>
        <v>6</v>
      </c>
    </row>
    <row r="28" spans="1:2" x14ac:dyDescent="0.25">
      <c r="A28" s="24" t="s">
        <v>201</v>
      </c>
      <c r="B28" s="23">
        <f>COUNTIF(Tabela3[Nome],"Voluntários")</f>
        <v>1</v>
      </c>
    </row>
    <row r="29" spans="1:2" x14ac:dyDescent="0.25">
      <c r="A29" s="24" t="s">
        <v>219</v>
      </c>
      <c r="B29" s="23">
        <f>COUNTIF(Tabela3[Nome],"Cidades Resilientes")</f>
        <v>2</v>
      </c>
    </row>
    <row r="30" spans="1:2" x14ac:dyDescent="0.25">
      <c r="A30" s="24"/>
      <c r="B30" s="23"/>
    </row>
    <row r="31" spans="1:2" x14ac:dyDescent="0.25">
      <c r="A31" s="24"/>
      <c r="B31" s="23"/>
    </row>
    <row r="32" spans="1:2" ht="24" thickBot="1" x14ac:dyDescent="0.3">
      <c r="A32" s="25"/>
      <c r="B32" s="27"/>
    </row>
    <row r="33" spans="1:1" x14ac:dyDescent="0.25">
      <c r="A33" s="1"/>
    </row>
    <row r="34" spans="1:1" x14ac:dyDescent="0.25">
      <c r="A34" s="1"/>
    </row>
  </sheetData>
  <mergeCells count="4">
    <mergeCell ref="A1:J1"/>
    <mergeCell ref="C2:J2"/>
    <mergeCell ref="B2:B3"/>
    <mergeCell ref="A15:B1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pane ySplit="1" topLeftCell="A2" activePane="bottomLeft" state="frozen"/>
      <selection pane="bottomLeft" activeCell="D12" sqref="D12"/>
    </sheetView>
  </sheetViews>
  <sheetFormatPr defaultColWidth="144.7109375" defaultRowHeight="20.25" customHeight="1" x14ac:dyDescent="0.25"/>
  <cols>
    <col min="1" max="1" width="24.85546875" style="52" bestFit="1" customWidth="1"/>
    <col min="2" max="2" width="87.28515625" style="52" customWidth="1"/>
    <col min="3" max="3" width="31.28515625" style="52" bestFit="1" customWidth="1"/>
    <col min="4" max="16384" width="144.7109375" style="52"/>
  </cols>
  <sheetData>
    <row r="1" spans="1:3" ht="20.25" customHeight="1" x14ac:dyDescent="0.25">
      <c r="A1" s="51" t="s">
        <v>12</v>
      </c>
      <c r="B1" s="51" t="s">
        <v>13</v>
      </c>
      <c r="C1" s="51" t="s">
        <v>19</v>
      </c>
    </row>
    <row r="2" spans="1:3" ht="20.25" customHeight="1" x14ac:dyDescent="0.25">
      <c r="A2" s="53" t="s">
        <v>15</v>
      </c>
      <c r="B2" s="53" t="s">
        <v>17</v>
      </c>
      <c r="C2" s="54">
        <v>42500</v>
      </c>
    </row>
    <row r="3" spans="1:3" ht="20.25" customHeight="1" x14ac:dyDescent="0.25">
      <c r="A3" s="53" t="s">
        <v>16</v>
      </c>
      <c r="B3" s="53" t="s">
        <v>18</v>
      </c>
      <c r="C3" s="54">
        <v>42527</v>
      </c>
    </row>
    <row r="4" spans="1:3" ht="20.25" customHeight="1" x14ac:dyDescent="0.25">
      <c r="A4" s="53" t="s">
        <v>21</v>
      </c>
      <c r="B4" s="53" t="s">
        <v>56</v>
      </c>
      <c r="C4" s="54">
        <v>43235</v>
      </c>
    </row>
    <row r="5" spans="1:3" ht="15" x14ac:dyDescent="0.25">
      <c r="A5" s="53"/>
      <c r="B5" s="53"/>
      <c r="C5" s="54"/>
    </row>
    <row r="6" spans="1:3" ht="20.25" customHeight="1" x14ac:dyDescent="0.25">
      <c r="A6" s="53"/>
      <c r="B6" s="53"/>
      <c r="C6" s="53"/>
    </row>
    <row r="7" spans="1:3" ht="20.25" customHeight="1" x14ac:dyDescent="0.25">
      <c r="A7" s="53"/>
      <c r="B7" s="53"/>
      <c r="C7" s="53"/>
    </row>
    <row r="8" spans="1:3" ht="20.25" customHeight="1" x14ac:dyDescent="0.25">
      <c r="A8" s="53"/>
      <c r="B8" s="53"/>
      <c r="C8" s="53"/>
    </row>
    <row r="9" spans="1:3" ht="20.25" customHeight="1" x14ac:dyDescent="0.25">
      <c r="A9" s="53"/>
      <c r="B9" s="53"/>
      <c r="C9" s="53"/>
    </row>
    <row r="10" spans="1:3" ht="20.25" customHeight="1" x14ac:dyDescent="0.25">
      <c r="A10" s="53"/>
      <c r="B10" s="53"/>
      <c r="C10" s="53"/>
    </row>
    <row r="11" spans="1:3" ht="20.25" customHeight="1" x14ac:dyDescent="0.25">
      <c r="A11" s="53"/>
      <c r="B11" s="53"/>
      <c r="C11" s="53"/>
    </row>
    <row r="12" spans="1:3" ht="20.25" customHeight="1" x14ac:dyDescent="0.25">
      <c r="A12" s="53"/>
      <c r="B12" s="53"/>
      <c r="C12" s="53"/>
    </row>
    <row r="13" spans="1:3" ht="20.25" customHeight="1" x14ac:dyDescent="0.25">
      <c r="A13" s="53"/>
      <c r="B13" s="53"/>
      <c r="C13" s="53"/>
    </row>
    <row r="14" spans="1:3" ht="20.25" customHeight="1" x14ac:dyDescent="0.25">
      <c r="A14" s="53"/>
      <c r="B14" s="53"/>
      <c r="C14" s="53"/>
    </row>
    <row r="15" spans="1:3" ht="20.25" customHeight="1" x14ac:dyDescent="0.25">
      <c r="A15" s="53"/>
      <c r="B15" s="53"/>
      <c r="C15" s="53"/>
    </row>
    <row r="16" spans="1:3" ht="20.25" customHeight="1" x14ac:dyDescent="0.25">
      <c r="A16" s="53"/>
      <c r="B16" s="53"/>
      <c r="C16" s="53"/>
    </row>
    <row r="17" spans="1:3" ht="20.25" customHeight="1" x14ac:dyDescent="0.25">
      <c r="A17" s="53"/>
      <c r="B17" s="53"/>
      <c r="C17" s="53"/>
    </row>
    <row r="18" spans="1:3" ht="20.25" customHeight="1" x14ac:dyDescent="0.25">
      <c r="A18" s="53"/>
      <c r="B18" s="53"/>
      <c r="C18" s="53"/>
    </row>
    <row r="19" spans="1:3" ht="20.25" customHeight="1" x14ac:dyDescent="0.25">
      <c r="A19" s="53"/>
      <c r="B19" s="53"/>
      <c r="C19" s="53"/>
    </row>
    <row r="20" spans="1:3" ht="20.25" customHeight="1" x14ac:dyDescent="0.25">
      <c r="A20" s="53"/>
      <c r="B20" s="53"/>
      <c r="C20" s="53"/>
    </row>
    <row r="22" spans="1:3" ht="20.25" customHeight="1" x14ac:dyDescent="0.25">
      <c r="A22" s="55" t="s">
        <v>14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H15" sqref="H15"/>
    </sheetView>
  </sheetViews>
  <sheetFormatPr defaultRowHeight="15" x14ac:dyDescent="0.25"/>
  <cols>
    <col min="1" max="1" width="13.7109375" style="79" bestFit="1" customWidth="1"/>
    <col min="2" max="2" width="44.7109375" style="79" customWidth="1"/>
    <col min="3" max="3" width="10.85546875" style="79" customWidth="1"/>
    <col min="4" max="4" width="6.85546875" style="79" customWidth="1"/>
    <col min="5" max="5" width="15.7109375" style="79" customWidth="1"/>
    <col min="6" max="11" width="12.140625" style="79" customWidth="1"/>
    <col min="12" max="13" width="14.5703125" style="79" customWidth="1"/>
    <col min="14" max="16384" width="9.140625" style="79"/>
  </cols>
  <sheetData>
    <row r="1" spans="1:13" ht="60.75" thickBot="1" x14ac:dyDescent="0.3">
      <c r="A1" s="83" t="s">
        <v>191</v>
      </c>
      <c r="B1" s="103" t="s">
        <v>0</v>
      </c>
      <c r="C1" s="104"/>
      <c r="D1" s="83" t="s">
        <v>31</v>
      </c>
      <c r="E1" s="83" t="s">
        <v>175</v>
      </c>
      <c r="F1" s="83" t="s">
        <v>137</v>
      </c>
      <c r="G1" s="83" t="s">
        <v>138</v>
      </c>
      <c r="H1" s="83" t="s">
        <v>145</v>
      </c>
      <c r="I1" s="83" t="s">
        <v>231</v>
      </c>
      <c r="J1" s="83" t="s">
        <v>140</v>
      </c>
      <c r="K1" s="83" t="s">
        <v>141</v>
      </c>
      <c r="L1" s="83" t="s">
        <v>160</v>
      </c>
      <c r="M1" s="83" t="s">
        <v>161</v>
      </c>
    </row>
    <row r="2" spans="1:13" x14ac:dyDescent="0.25">
      <c r="A2" s="84" t="s">
        <v>198</v>
      </c>
      <c r="B2" s="102" t="s">
        <v>44</v>
      </c>
      <c r="C2" s="102"/>
      <c r="D2" s="85">
        <v>2017</v>
      </c>
      <c r="E2" s="85" t="s">
        <v>177</v>
      </c>
      <c r="F2" s="85">
        <v>103</v>
      </c>
      <c r="G2" s="85">
        <v>103</v>
      </c>
      <c r="H2" s="85">
        <v>72</v>
      </c>
      <c r="I2" s="85">
        <v>69.900000000000006</v>
      </c>
      <c r="J2" s="85">
        <v>2</v>
      </c>
      <c r="K2" s="85">
        <v>12</v>
      </c>
      <c r="L2" s="85">
        <v>5</v>
      </c>
      <c r="M2" s="86">
        <v>11</v>
      </c>
    </row>
    <row r="3" spans="1:13" x14ac:dyDescent="0.25">
      <c r="A3" s="87" t="s">
        <v>198</v>
      </c>
      <c r="B3" s="105" t="s">
        <v>45</v>
      </c>
      <c r="C3" s="105"/>
      <c r="D3" s="88">
        <v>2017</v>
      </c>
      <c r="E3" s="88" t="s">
        <v>177</v>
      </c>
      <c r="F3" s="88">
        <v>97</v>
      </c>
      <c r="G3" s="88">
        <v>97</v>
      </c>
      <c r="H3" s="88">
        <v>32</v>
      </c>
      <c r="I3" s="88">
        <v>32.99</v>
      </c>
      <c r="J3" s="88">
        <v>1</v>
      </c>
      <c r="K3" s="88">
        <v>15</v>
      </c>
      <c r="L3" s="88">
        <v>17</v>
      </c>
      <c r="M3" s="89">
        <v>32</v>
      </c>
    </row>
    <row r="4" spans="1:13" x14ac:dyDescent="0.25">
      <c r="A4" s="100" t="s">
        <v>219</v>
      </c>
      <c r="B4" s="98" t="s">
        <v>226</v>
      </c>
      <c r="C4" s="5" t="s">
        <v>233</v>
      </c>
      <c r="D4" s="98">
        <v>2018</v>
      </c>
      <c r="E4" s="98" t="s">
        <v>177</v>
      </c>
      <c r="F4" s="5">
        <v>324</v>
      </c>
      <c r="G4" s="5">
        <v>324</v>
      </c>
      <c r="H4" s="5"/>
      <c r="I4" s="5"/>
      <c r="J4" s="5"/>
      <c r="K4" s="5"/>
      <c r="L4" s="5"/>
      <c r="M4" s="80"/>
    </row>
    <row r="5" spans="1:13" ht="15.75" thickBot="1" x14ac:dyDescent="0.3">
      <c r="A5" s="101"/>
      <c r="B5" s="99"/>
      <c r="C5" s="81" t="s">
        <v>234</v>
      </c>
      <c r="D5" s="99"/>
      <c r="E5" s="99"/>
      <c r="F5" s="81">
        <v>75</v>
      </c>
      <c r="G5" s="81">
        <v>75</v>
      </c>
      <c r="H5" s="81">
        <v>22</v>
      </c>
      <c r="I5" s="81"/>
      <c r="J5" s="81">
        <v>5</v>
      </c>
      <c r="K5" s="81"/>
      <c r="L5" s="81">
        <v>22</v>
      </c>
      <c r="M5" s="82">
        <v>8</v>
      </c>
    </row>
  </sheetData>
  <mergeCells count="7">
    <mergeCell ref="E4:E5"/>
    <mergeCell ref="B4:B5"/>
    <mergeCell ref="A4:A5"/>
    <mergeCell ref="B2:C2"/>
    <mergeCell ref="B1:C1"/>
    <mergeCell ref="B3:C3"/>
    <mergeCell ref="D4:D5"/>
  </mergeCells>
  <pageMargins left="0.51181102362204722" right="0.51181102362204722" top="0.78740157480314965" bottom="0.78740157480314965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Controle adm. dos cursos</vt:lpstr>
      <vt:lpstr>Resumo dos cursos</vt:lpstr>
      <vt:lpstr>Resultados</vt:lpstr>
      <vt:lpstr>Protocolos</vt:lpstr>
      <vt:lpstr>2018</vt:lpstr>
      <vt:lpstr>Sanepar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Frates Simiano</dc:creator>
  <cp:lastModifiedBy>Administrador</cp:lastModifiedBy>
  <cp:lastPrinted>2018-12-14T12:22:32Z</cp:lastPrinted>
  <dcterms:created xsi:type="dcterms:W3CDTF">2017-11-21T16:49:37Z</dcterms:created>
  <dcterms:modified xsi:type="dcterms:W3CDTF">2019-02-07T17:10:50Z</dcterms:modified>
</cp:coreProperties>
</file>