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S:\CEDEC\4 DIVISÃO DE GESTÃO DE RISCO\08 ESCOLA DE DEFESA CIVIL\"/>
    </mc:Choice>
  </mc:AlternateContent>
  <bookViews>
    <workbookView xWindow="0" yWindow="0" windowWidth="28800" windowHeight="12330" activeTab="2"/>
  </bookViews>
  <sheets>
    <sheet name="Controle adm. dos cursos" sheetId="1" r:id="rId1"/>
    <sheet name="tabelas dinâmicas" sheetId="12" r:id="rId2"/>
    <sheet name="Dashboard" sheetId="13" r:id="rId3"/>
    <sheet name="Resumo dos cursos" sheetId="4" r:id="rId4"/>
    <sheet name="Resultados" sheetId="7" r:id="rId5"/>
    <sheet name="2019" sheetId="8" r:id="rId6"/>
    <sheet name="2020" sheetId="9" r:id="rId7"/>
    <sheet name="2021" sheetId="10" r:id="rId8"/>
    <sheet name="Cursos ofertados" sheetId="11" r:id="rId9"/>
  </sheets>
  <definedNames>
    <definedName name="_xlnm._FilterDatabase" localSheetId="3" hidden="1">'Resumo dos cursos'!#REF!</definedName>
    <definedName name="SegmentaçãodeDados_Ano">#N/A</definedName>
    <definedName name="SegmentaçãodeDados_Nome">#N/A</definedName>
  </definedNames>
  <calcPr calcId="162913"/>
  <pivotCaches>
    <pivotCache cacheId="10" r:id="rId10"/>
  </pivotCaches>
  <fileRecoveryPr repairLoad="1"/>
  <extLst>
    <ext xmlns:x14="http://schemas.microsoft.com/office/spreadsheetml/2009/9/main" uri="{BBE1A952-AA13-448e-AADC-164F8A28A991}">
      <x14:slicerCaches>
        <x14:slicerCache r:id="rId11"/>
        <x14:slicerCache r:id="rId12"/>
      </x14:slicerCaches>
    </ext>
    <ext xmlns:x14="http://schemas.microsoft.com/office/spreadsheetml/2009/9/main" uri="{79F54976-1DA5-4618-B147-4CDE4B953A38}">
      <x14:workbookPr/>
    </ext>
  </extLst>
</workbook>
</file>

<file path=xl/calcChain.xml><?xml version="1.0" encoding="utf-8"?>
<calcChain xmlns="http://schemas.openxmlformats.org/spreadsheetml/2006/main">
  <c r="J23" i="10" l="1"/>
  <c r="I23" i="10"/>
  <c r="H23" i="10"/>
  <c r="G23" i="10"/>
  <c r="F23" i="10"/>
  <c r="E23" i="10"/>
  <c r="D23" i="10"/>
  <c r="C23" i="10"/>
  <c r="A23" i="10"/>
  <c r="J22" i="10"/>
  <c r="I22" i="10"/>
  <c r="H22" i="10"/>
  <c r="G22" i="10"/>
  <c r="F22" i="10"/>
  <c r="E22" i="10"/>
  <c r="D22" i="10"/>
  <c r="C22" i="10"/>
  <c r="A22" i="10"/>
  <c r="J21" i="10"/>
  <c r="I21" i="10"/>
  <c r="H21" i="10"/>
  <c r="G21" i="10"/>
  <c r="F21" i="10"/>
  <c r="E21" i="10"/>
  <c r="D21" i="10"/>
  <c r="C21" i="10"/>
  <c r="A21" i="10"/>
  <c r="J20" i="10"/>
  <c r="I20" i="10"/>
  <c r="H20" i="10"/>
  <c r="G20" i="10"/>
  <c r="F20" i="10"/>
  <c r="E20" i="10"/>
  <c r="D20" i="10"/>
  <c r="C20" i="10"/>
  <c r="A20" i="10"/>
  <c r="J19" i="10"/>
  <c r="I19" i="10"/>
  <c r="H19" i="10"/>
  <c r="G19" i="10"/>
  <c r="F19" i="10"/>
  <c r="E19" i="10"/>
  <c r="D19" i="10"/>
  <c r="C19" i="10"/>
  <c r="A19" i="10"/>
  <c r="J18" i="10"/>
  <c r="I18" i="10"/>
  <c r="H18" i="10"/>
  <c r="G18" i="10"/>
  <c r="F18" i="10"/>
  <c r="E18" i="10"/>
  <c r="D18" i="10"/>
  <c r="C18" i="10"/>
  <c r="A18" i="10"/>
  <c r="J17" i="10"/>
  <c r="I17" i="10"/>
  <c r="H17" i="10"/>
  <c r="G17" i="10"/>
  <c r="F17" i="10"/>
  <c r="E17" i="10"/>
  <c r="D17" i="10"/>
  <c r="C17" i="10"/>
  <c r="A17" i="10"/>
  <c r="J16" i="10"/>
  <c r="I16" i="10"/>
  <c r="H16" i="10"/>
  <c r="G16" i="10"/>
  <c r="F16" i="10"/>
  <c r="E16" i="10"/>
  <c r="D16" i="10"/>
  <c r="C16" i="10"/>
  <c r="A16" i="10"/>
  <c r="J15" i="10"/>
  <c r="I15" i="10"/>
  <c r="H15" i="10"/>
  <c r="G15" i="10"/>
  <c r="F15" i="10"/>
  <c r="E15" i="10"/>
  <c r="D15" i="10"/>
  <c r="C15" i="10"/>
  <c r="A15" i="10"/>
  <c r="J14" i="10"/>
  <c r="I14" i="10"/>
  <c r="H14" i="10"/>
  <c r="G14" i="10"/>
  <c r="F14" i="10"/>
  <c r="E14" i="10"/>
  <c r="D14" i="10"/>
  <c r="C14" i="10"/>
  <c r="A14" i="10"/>
  <c r="J13" i="10"/>
  <c r="I13" i="10"/>
  <c r="H13" i="10"/>
  <c r="G13" i="10"/>
  <c r="F13" i="10"/>
  <c r="E13" i="10"/>
  <c r="D13" i="10"/>
  <c r="C13" i="10"/>
  <c r="A13" i="10"/>
  <c r="J12" i="10"/>
  <c r="I12" i="10"/>
  <c r="H12" i="10"/>
  <c r="G12" i="10"/>
  <c r="F12" i="10"/>
  <c r="E12" i="10"/>
  <c r="D12" i="10"/>
  <c r="C12" i="10"/>
  <c r="A12" i="10"/>
  <c r="J11" i="10"/>
  <c r="I11" i="10"/>
  <c r="H11" i="10"/>
  <c r="G11" i="10"/>
  <c r="F11" i="10"/>
  <c r="E11" i="10"/>
  <c r="D11" i="10"/>
  <c r="C11" i="10"/>
  <c r="A11" i="10"/>
  <c r="J10" i="10"/>
  <c r="I10" i="10"/>
  <c r="H10" i="10"/>
  <c r="G10" i="10"/>
  <c r="F10" i="10"/>
  <c r="E10" i="10"/>
  <c r="D10" i="10"/>
  <c r="C10" i="10"/>
  <c r="A10" i="10"/>
  <c r="J9" i="10"/>
  <c r="I9" i="10"/>
  <c r="H9" i="10"/>
  <c r="G9" i="10"/>
  <c r="F9" i="10"/>
  <c r="E9" i="10"/>
  <c r="D9" i="10"/>
  <c r="C9" i="10"/>
  <c r="A9" i="10"/>
  <c r="J8" i="10"/>
  <c r="I8" i="10"/>
  <c r="H8" i="10"/>
  <c r="G8" i="10"/>
  <c r="F8" i="10"/>
  <c r="E8" i="10"/>
  <c r="D8" i="10"/>
  <c r="C8" i="10"/>
  <c r="A8" i="10"/>
  <c r="J7" i="10"/>
  <c r="I7" i="10"/>
  <c r="H7" i="10"/>
  <c r="G7" i="10"/>
  <c r="F7" i="10"/>
  <c r="E7" i="10"/>
  <c r="D7" i="10"/>
  <c r="C7" i="10"/>
  <c r="B7" i="10"/>
  <c r="J6" i="10"/>
  <c r="I6" i="10"/>
  <c r="H6" i="10"/>
  <c r="G6" i="10"/>
  <c r="F6" i="10"/>
  <c r="E6" i="10"/>
  <c r="D6" i="10"/>
  <c r="C6" i="10"/>
  <c r="B6" i="10"/>
  <c r="J5" i="10"/>
  <c r="I5" i="10"/>
  <c r="H5" i="10"/>
  <c r="G5" i="10"/>
  <c r="F5" i="10"/>
  <c r="E5" i="10"/>
  <c r="D5" i="10"/>
  <c r="C5" i="10"/>
  <c r="B5" i="10"/>
  <c r="J4" i="10"/>
  <c r="I4" i="10"/>
  <c r="H4" i="10"/>
  <c r="G4" i="10"/>
  <c r="F4" i="10"/>
  <c r="E4" i="10"/>
  <c r="D4" i="10"/>
  <c r="C4" i="10"/>
  <c r="B4" i="10"/>
  <c r="J18" i="9"/>
  <c r="I18" i="9"/>
  <c r="H18" i="9"/>
  <c r="G18" i="9"/>
  <c r="F18" i="9"/>
  <c r="E18" i="9"/>
  <c r="D18" i="9"/>
  <c r="C18" i="9"/>
  <c r="A18" i="9"/>
  <c r="J17" i="9"/>
  <c r="I17" i="9"/>
  <c r="H17" i="9"/>
  <c r="G17" i="9"/>
  <c r="F17" i="9"/>
  <c r="E17" i="9"/>
  <c r="D17" i="9"/>
  <c r="C17" i="9"/>
  <c r="A17" i="9"/>
  <c r="J16" i="9"/>
  <c r="I16" i="9"/>
  <c r="H16" i="9"/>
  <c r="G16" i="9"/>
  <c r="F16" i="9"/>
  <c r="E16" i="9"/>
  <c r="D16" i="9"/>
  <c r="C16" i="9"/>
  <c r="A16" i="9"/>
  <c r="J15" i="9"/>
  <c r="I15" i="9"/>
  <c r="H15" i="9"/>
  <c r="G15" i="9"/>
  <c r="F15" i="9"/>
  <c r="E15" i="9"/>
  <c r="D15" i="9"/>
  <c r="C15" i="9"/>
  <c r="A15" i="9"/>
  <c r="J14" i="9"/>
  <c r="I14" i="9"/>
  <c r="H14" i="9"/>
  <c r="G14" i="9"/>
  <c r="F14" i="9"/>
  <c r="E14" i="9"/>
  <c r="D14" i="9"/>
  <c r="C14" i="9"/>
  <c r="A14" i="9"/>
  <c r="J13" i="9"/>
  <c r="I13" i="9"/>
  <c r="H13" i="9"/>
  <c r="G13" i="9"/>
  <c r="F13" i="9"/>
  <c r="E13" i="9"/>
  <c r="D13" i="9"/>
  <c r="C13" i="9"/>
  <c r="A13" i="9"/>
  <c r="J12" i="9"/>
  <c r="I12" i="9"/>
  <c r="H12" i="9"/>
  <c r="G12" i="9"/>
  <c r="F12" i="9"/>
  <c r="E12" i="9"/>
  <c r="D12" i="9"/>
  <c r="C12" i="9"/>
  <c r="A12" i="9"/>
  <c r="J11" i="9"/>
  <c r="I11" i="9"/>
  <c r="H11" i="9"/>
  <c r="G11" i="9"/>
  <c r="F11" i="9"/>
  <c r="E11" i="9"/>
  <c r="D11" i="9"/>
  <c r="C11" i="9"/>
  <c r="A11" i="9"/>
  <c r="J10" i="9"/>
  <c r="I10" i="9"/>
  <c r="H10" i="9"/>
  <c r="G10" i="9"/>
  <c r="F10" i="9"/>
  <c r="E10" i="9"/>
  <c r="D10" i="9"/>
  <c r="C10" i="9"/>
  <c r="A10" i="9"/>
  <c r="J9" i="9"/>
  <c r="I9" i="9"/>
  <c r="H9" i="9"/>
  <c r="G9" i="9"/>
  <c r="F9" i="9"/>
  <c r="E9" i="9"/>
  <c r="D9" i="9"/>
  <c r="C9" i="9"/>
  <c r="A9" i="9"/>
  <c r="J8" i="9"/>
  <c r="I8" i="9"/>
  <c r="H8" i="9"/>
  <c r="G8" i="9"/>
  <c r="F8" i="9"/>
  <c r="E8" i="9"/>
  <c r="D8" i="9"/>
  <c r="C8" i="9"/>
  <c r="A8" i="9"/>
  <c r="J7" i="9"/>
  <c r="I7" i="9"/>
  <c r="H7" i="9"/>
  <c r="G7" i="9"/>
  <c r="F7" i="9"/>
  <c r="E7" i="9"/>
  <c r="D7" i="9"/>
  <c r="C7" i="9"/>
  <c r="B7" i="9"/>
  <c r="J6" i="9"/>
  <c r="I6" i="9"/>
  <c r="H6" i="9"/>
  <c r="G6" i="9"/>
  <c r="F6" i="9"/>
  <c r="E6" i="9"/>
  <c r="D6" i="9"/>
  <c r="C6" i="9"/>
  <c r="B6" i="9"/>
  <c r="J5" i="9"/>
  <c r="I5" i="9"/>
  <c r="H5" i="9"/>
  <c r="G5" i="9"/>
  <c r="F5" i="9"/>
  <c r="E5" i="9"/>
  <c r="D5" i="9"/>
  <c r="C5" i="9"/>
  <c r="B5" i="9"/>
  <c r="J4" i="9"/>
  <c r="I4" i="9"/>
  <c r="H4" i="9"/>
  <c r="G4" i="9"/>
  <c r="F4" i="9"/>
  <c r="E4" i="9"/>
  <c r="D4" i="9"/>
  <c r="C4" i="9"/>
  <c r="B4" i="9"/>
  <c r="J14" i="8"/>
  <c r="I14" i="8"/>
  <c r="H14" i="8"/>
  <c r="G14" i="8"/>
  <c r="F14" i="8"/>
  <c r="E14" i="8"/>
  <c r="D14" i="8"/>
  <c r="C14" i="8"/>
  <c r="A14" i="8"/>
  <c r="J13" i="8"/>
  <c r="I13" i="8"/>
  <c r="H13" i="8"/>
  <c r="G13" i="8"/>
  <c r="F13" i="8"/>
  <c r="E13" i="8"/>
  <c r="D13" i="8"/>
  <c r="C13" i="8"/>
  <c r="A13" i="8"/>
  <c r="J12" i="8"/>
  <c r="I12" i="8"/>
  <c r="H12" i="8"/>
  <c r="G12" i="8"/>
  <c r="F12" i="8"/>
  <c r="E12" i="8"/>
  <c r="D12" i="8"/>
  <c r="C12" i="8"/>
  <c r="A12" i="8"/>
  <c r="J11" i="8"/>
  <c r="I11" i="8"/>
  <c r="H11" i="8"/>
  <c r="G11" i="8"/>
  <c r="F11" i="8"/>
  <c r="E11" i="8"/>
  <c r="D11" i="8"/>
  <c r="C11" i="8"/>
  <c r="A11" i="8"/>
  <c r="J10" i="8"/>
  <c r="I10" i="8"/>
  <c r="H10" i="8"/>
  <c r="G10" i="8"/>
  <c r="F10" i="8"/>
  <c r="E10" i="8"/>
  <c r="D10" i="8"/>
  <c r="C10" i="8"/>
  <c r="A10" i="8"/>
  <c r="J9" i="8"/>
  <c r="I9" i="8"/>
  <c r="H9" i="8"/>
  <c r="G9" i="8"/>
  <c r="F9" i="8"/>
  <c r="E9" i="8"/>
  <c r="D9" i="8"/>
  <c r="C9" i="8"/>
  <c r="A9" i="8"/>
  <c r="J8" i="8"/>
  <c r="I8" i="8"/>
  <c r="H8" i="8"/>
  <c r="G8" i="8"/>
  <c r="F8" i="8"/>
  <c r="E8" i="8"/>
  <c r="D8" i="8"/>
  <c r="C8" i="8"/>
  <c r="A8" i="8"/>
  <c r="J7" i="8"/>
  <c r="I7" i="8"/>
  <c r="H7" i="8"/>
  <c r="G7" i="8"/>
  <c r="F7" i="8"/>
  <c r="E7" i="8"/>
  <c r="D7" i="8"/>
  <c r="C7" i="8"/>
  <c r="B7" i="8"/>
  <c r="J6" i="8"/>
  <c r="I6" i="8"/>
  <c r="H6" i="8"/>
  <c r="G6" i="8"/>
  <c r="F6" i="8"/>
  <c r="E6" i="8"/>
  <c r="D6" i="8"/>
  <c r="C6" i="8"/>
  <c r="B6" i="8"/>
  <c r="J5" i="8"/>
  <c r="I5" i="8"/>
  <c r="H5" i="8"/>
  <c r="G5" i="8"/>
  <c r="F5" i="8"/>
  <c r="E5" i="8"/>
  <c r="D5" i="8"/>
  <c r="C5" i="8"/>
  <c r="B5" i="8"/>
  <c r="J4" i="8"/>
  <c r="I4" i="8"/>
  <c r="H4" i="8"/>
  <c r="G4" i="8"/>
  <c r="F4" i="8"/>
  <c r="E4" i="8"/>
  <c r="D4" i="8"/>
  <c r="C4" i="8"/>
  <c r="B4" i="8"/>
  <c r="B22" i="7"/>
  <c r="B21" i="7"/>
  <c r="B20" i="7"/>
  <c r="B19" i="7"/>
  <c r="B18" i="7"/>
  <c r="B17" i="7"/>
  <c r="B16" i="7"/>
  <c r="B15" i="7"/>
  <c r="B14" i="7"/>
  <c r="J11" i="7"/>
  <c r="I11" i="7"/>
  <c r="H11" i="7"/>
  <c r="G11" i="7"/>
  <c r="E11" i="7"/>
  <c r="D11" i="7"/>
  <c r="C11" i="7"/>
  <c r="B11" i="7"/>
  <c r="J10" i="7"/>
  <c r="I10" i="7"/>
  <c r="H10" i="7"/>
  <c r="G10" i="7"/>
  <c r="E10" i="7"/>
  <c r="D10" i="7"/>
  <c r="C10" i="7"/>
  <c r="B10" i="7"/>
  <c r="J9" i="7"/>
  <c r="I9" i="7"/>
  <c r="H9" i="7"/>
  <c r="G9" i="7"/>
  <c r="E9" i="7"/>
  <c r="D9" i="7"/>
  <c r="C9" i="7"/>
  <c r="B9" i="7"/>
  <c r="J8" i="7"/>
  <c r="I8" i="7"/>
  <c r="H8" i="7"/>
  <c r="G8" i="7"/>
  <c r="E8" i="7"/>
  <c r="D8" i="7"/>
  <c r="C8" i="7"/>
  <c r="B8" i="7"/>
  <c r="J7" i="7"/>
  <c r="I7" i="7"/>
  <c r="H7" i="7"/>
  <c r="G7" i="7"/>
  <c r="F7" i="7"/>
  <c r="E7" i="7"/>
  <c r="D7" i="7"/>
  <c r="C7" i="7"/>
  <c r="B7" i="7"/>
  <c r="J6" i="7"/>
  <c r="I6" i="7"/>
  <c r="H6" i="7"/>
  <c r="G6" i="7"/>
  <c r="F6" i="7"/>
  <c r="E6" i="7"/>
  <c r="D6" i="7"/>
  <c r="C6" i="7"/>
  <c r="B6" i="7"/>
  <c r="J5" i="7"/>
  <c r="I5" i="7"/>
  <c r="H5" i="7"/>
  <c r="G5" i="7"/>
  <c r="F5" i="7"/>
  <c r="E5" i="7"/>
  <c r="D5" i="7"/>
  <c r="C5" i="7"/>
  <c r="B5" i="7"/>
  <c r="J4" i="7"/>
  <c r="I4" i="7"/>
  <c r="H4" i="7"/>
  <c r="G4" i="7"/>
  <c r="F4" i="7"/>
  <c r="E4" i="7"/>
  <c r="D4" i="7"/>
  <c r="C4" i="7"/>
  <c r="B4" i="7"/>
  <c r="I30" i="4"/>
  <c r="D30" i="4"/>
  <c r="C30" i="4"/>
  <c r="I29" i="4"/>
  <c r="D29" i="4"/>
  <c r="C29" i="4"/>
  <c r="I28" i="4"/>
  <c r="D28" i="4"/>
  <c r="C28" i="4"/>
  <c r="I27" i="4"/>
  <c r="D27" i="4"/>
  <c r="C27" i="4"/>
  <c r="I26" i="4"/>
  <c r="D26" i="4"/>
  <c r="C26" i="4"/>
  <c r="I25" i="4"/>
  <c r="D25" i="4"/>
  <c r="C25" i="4"/>
  <c r="I24" i="4"/>
  <c r="D24" i="4"/>
  <c r="C24" i="4"/>
  <c r="I23" i="4"/>
  <c r="D23" i="4"/>
  <c r="C23" i="4"/>
  <c r="I22" i="4"/>
  <c r="D22" i="4"/>
  <c r="C22" i="4"/>
  <c r="I21" i="4"/>
  <c r="D21" i="4"/>
  <c r="C21" i="4"/>
  <c r="I20" i="4"/>
  <c r="D20" i="4"/>
  <c r="C20" i="4"/>
  <c r="I19" i="4"/>
  <c r="D19" i="4"/>
  <c r="C19" i="4"/>
  <c r="I18" i="4"/>
  <c r="D18" i="4"/>
  <c r="C18" i="4"/>
  <c r="I17" i="4"/>
  <c r="D17" i="4"/>
  <c r="C17" i="4"/>
  <c r="I16" i="4"/>
  <c r="D16" i="4"/>
  <c r="C16" i="4"/>
  <c r="I15" i="4"/>
  <c r="D15" i="4"/>
  <c r="C15" i="4"/>
  <c r="I14" i="4"/>
  <c r="D14" i="4"/>
  <c r="C14" i="4"/>
  <c r="I13" i="4"/>
  <c r="D13" i="4"/>
  <c r="C13" i="4"/>
  <c r="I12" i="4"/>
  <c r="D12" i="4"/>
  <c r="C12" i="4"/>
  <c r="I11" i="4"/>
  <c r="D11" i="4"/>
  <c r="C11" i="4"/>
  <c r="I10" i="4"/>
  <c r="D10" i="4"/>
  <c r="C10" i="4"/>
  <c r="I9" i="4"/>
  <c r="D9" i="4"/>
  <c r="C9" i="4"/>
  <c r="I8" i="4"/>
  <c r="D8" i="4"/>
  <c r="C8" i="4"/>
  <c r="I7" i="4"/>
  <c r="D7" i="4"/>
  <c r="C7" i="4"/>
  <c r="I6" i="4"/>
  <c r="D6" i="4"/>
  <c r="C6" i="4"/>
  <c r="I5" i="4"/>
  <c r="D5" i="4"/>
  <c r="C5" i="4"/>
  <c r="I4" i="4"/>
  <c r="D4" i="4"/>
  <c r="C4" i="4"/>
  <c r="I3" i="4"/>
  <c r="D3" i="4"/>
  <c r="C3" i="4"/>
  <c r="M1" i="4"/>
  <c r="L1" i="4"/>
  <c r="K1" i="4"/>
  <c r="J1" i="4"/>
  <c r="H1" i="4"/>
  <c r="G1" i="4"/>
  <c r="F1" i="4"/>
  <c r="F10" i="7" l="1"/>
  <c r="F9" i="7"/>
  <c r="F11" i="7"/>
  <c r="F8" i="7"/>
</calcChain>
</file>

<file path=xl/comments1.xml><?xml version="1.0" encoding="utf-8"?>
<comments xmlns="http://schemas.openxmlformats.org/spreadsheetml/2006/main">
  <authors>
    <author>FABIO DELEK</author>
  </authors>
  <commentList>
    <comment ref="H2" authorId="0" shapeId="0">
      <text>
        <r>
          <rPr>
            <sz val="10"/>
            <color indexed="81"/>
            <rFont val="Tahoma"/>
            <family val="2"/>
          </rPr>
          <t>Aqueles que atingiram nota igual ou superior a 70,00</t>
        </r>
      </text>
    </comment>
    <comment ref="J2" authorId="0" shapeId="0">
      <text>
        <r>
          <rPr>
            <b/>
            <sz val="9"/>
            <color indexed="81"/>
            <rFont val="Tahoma"/>
            <family val="2"/>
          </rPr>
          <t>FABIO DELEK: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Em alguma atividade obtiveram nota inferior a 70,00</t>
        </r>
      </text>
    </comment>
    <comment ref="K2" authorId="0" shapeId="0">
      <text>
        <r>
          <rPr>
            <b/>
            <sz val="9"/>
            <color indexed="81"/>
            <rFont val="Tahoma"/>
            <family val="2"/>
          </rPr>
          <t>F</t>
        </r>
        <r>
          <rPr>
            <b/>
            <sz val="10"/>
            <color indexed="81"/>
            <rFont val="Tahoma"/>
            <family val="2"/>
          </rPr>
          <t>ABIO DELEK:</t>
        </r>
        <r>
          <rPr>
            <sz val="10"/>
            <color indexed="81"/>
            <rFont val="Tahoma"/>
            <family val="2"/>
          </rPr>
          <t xml:space="preserve">
Aqueles que por vontade própria, mesmo já tendo alguma nota no mínimo 70,00, desiste de continuar o curso.</t>
        </r>
      </text>
    </comment>
    <comment ref="L2" authorId="0" shapeId="0">
      <text>
        <r>
          <rPr>
            <b/>
            <sz val="9"/>
            <color indexed="81"/>
            <rFont val="Tahoma"/>
            <family val="2"/>
          </rPr>
          <t>FABIO DELEK: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Acessou o curso porém sequer respondeu o 1º questionário</t>
        </r>
      </text>
    </comment>
    <comment ref="M2" authorId="0" shapeId="0">
      <text>
        <r>
          <rPr>
            <b/>
            <sz val="9"/>
            <color indexed="81"/>
            <rFont val="Tahoma"/>
            <family val="2"/>
          </rPr>
          <t>FABIO DELEK:</t>
        </r>
        <r>
          <rPr>
            <sz val="9"/>
            <color indexed="81"/>
            <rFont val="Tahoma"/>
            <family val="2"/>
          </rPr>
          <t xml:space="preserve">
S</t>
        </r>
        <r>
          <rPr>
            <sz val="10"/>
            <color indexed="81"/>
            <rFont val="Tahoma"/>
            <family val="2"/>
          </rPr>
          <t>equer acessou a página do curso que estava inscrito</t>
        </r>
      </text>
    </comment>
  </commentList>
</comments>
</file>

<file path=xl/sharedStrings.xml><?xml version="1.0" encoding="utf-8"?>
<sst xmlns="http://schemas.openxmlformats.org/spreadsheetml/2006/main" count="332" uniqueCount="116">
  <si>
    <t>Curso</t>
  </si>
  <si>
    <t>Projeto Pedagógico</t>
  </si>
  <si>
    <t>Plano de Curso</t>
  </si>
  <si>
    <t>Termo de Matrícula</t>
  </si>
  <si>
    <t>Termo de Encerramento</t>
  </si>
  <si>
    <t>Ano</t>
  </si>
  <si>
    <t>SCI - Sistema de Comando de Incidentes</t>
  </si>
  <si>
    <t>Publicação Boletim</t>
  </si>
  <si>
    <t>Publicação Boletim 2</t>
  </si>
  <si>
    <t>Publicação Boletim 3</t>
  </si>
  <si>
    <t>Publicação Boletim 4</t>
  </si>
  <si>
    <t>Inscritos</t>
  </si>
  <si>
    <t>Matriculados</t>
  </si>
  <si>
    <t>QT</t>
  </si>
  <si>
    <t>Reprovados</t>
  </si>
  <si>
    <t>Desistentes</t>
  </si>
  <si>
    <t>Não responderam o 1º questionário</t>
  </si>
  <si>
    <t>Nunca acessaram o curso</t>
  </si>
  <si>
    <t>Modalidade de Ensino</t>
  </si>
  <si>
    <t>A Distância</t>
  </si>
  <si>
    <t>Modalidade de Ensino Presencial</t>
  </si>
  <si>
    <t>Modalidade de Ensino Semipresencial</t>
  </si>
  <si>
    <t xml:space="preserve">Modalidade de Ensino a Distância </t>
  </si>
  <si>
    <t>TOTAL</t>
  </si>
  <si>
    <t>Ano de 2019</t>
  </si>
  <si>
    <t>Total de Cursos</t>
  </si>
  <si>
    <t>Alunos</t>
  </si>
  <si>
    <t>Nome</t>
  </si>
  <si>
    <t>SCI</t>
  </si>
  <si>
    <t>REER</t>
  </si>
  <si>
    <t>Doc4</t>
  </si>
  <si>
    <t>Doc</t>
  </si>
  <si>
    <t>Doc2</t>
  </si>
  <si>
    <t>Doc3</t>
  </si>
  <si>
    <t>Total de Turmas</t>
  </si>
  <si>
    <t>Fundamental</t>
  </si>
  <si>
    <t>% Aprovação</t>
  </si>
  <si>
    <t>%</t>
  </si>
  <si>
    <t>Conhecimentos Fundamentais em Proteção e Defesa Civil - DPDC</t>
  </si>
  <si>
    <t>RESULTADOS DOS CURSOS DA ESCOLA DE DEFESA CIVIL</t>
  </si>
  <si>
    <t>Conhecimentos Básicos para Integrantes da Rede Estadual de Emergência de Radioamadores - REER - Turma 2019</t>
  </si>
  <si>
    <t>Ano de 2020</t>
  </si>
  <si>
    <t>Ano de 2021</t>
  </si>
  <si>
    <t>Ano de 2022</t>
  </si>
  <si>
    <t>15.714.075-2</t>
  </si>
  <si>
    <t>CURSOS DA ESCOLA DE DEFESA CIVIL</t>
  </si>
  <si>
    <t>15.743.119-6</t>
  </si>
  <si>
    <t>BI CM 020/2019</t>
  </si>
  <si>
    <t>SCI - Sistema de Comando de Incidentes - Turma ADAPAR</t>
  </si>
  <si>
    <t>15.704.006-5</t>
  </si>
  <si>
    <t>BI CM 017/2019</t>
  </si>
  <si>
    <t>15.854.271-4</t>
  </si>
  <si>
    <t xml:space="preserve">     Alterações </t>
  </si>
  <si>
    <t xml:space="preserve">       Descrição</t>
  </si>
  <si>
    <t>SCI - Sistema de Comando de Incidentes - Turma II ADAPAR</t>
  </si>
  <si>
    <t>16.039.692-0</t>
  </si>
  <si>
    <t>xxxx</t>
  </si>
  <si>
    <t>15.913.771-6</t>
  </si>
  <si>
    <t>BI nº 009/2019</t>
  </si>
  <si>
    <t>BI nº 016/2019</t>
  </si>
  <si>
    <t>15.825.103-5</t>
  </si>
  <si>
    <t>BI nº 004/2019</t>
  </si>
  <si>
    <t>OK</t>
  </si>
  <si>
    <t>Plano de Curso em documento Físico</t>
  </si>
  <si>
    <t>RESULTADOS DOS CURSOS DA ESCOLA DE DEFESA CIVIL NO ANO DE 2019</t>
  </si>
  <si>
    <t>Atendimento de Emergências em Edificações - Turma CELEPAR</t>
  </si>
  <si>
    <t>Atendimento de Emergências em Edificações - Turma UEM</t>
  </si>
  <si>
    <t>Emegências em Edificações</t>
  </si>
  <si>
    <t>Aprovados</t>
  </si>
  <si>
    <t>escola123</t>
  </si>
  <si>
    <t>16.238.780-4</t>
  </si>
  <si>
    <t>Doc42</t>
  </si>
  <si>
    <t>Apresentação de Resultados</t>
  </si>
  <si>
    <t>16.251.238-2</t>
  </si>
  <si>
    <t>16.256.593-1</t>
  </si>
  <si>
    <t>16.239.265-4</t>
  </si>
  <si>
    <t>BI nº 028/2019</t>
  </si>
  <si>
    <t>RESULTADOS DOS CURSOS DA ESCOLA DE DEFESA CIVIL NO ANO DE 2020</t>
  </si>
  <si>
    <t>SCI - Sistema de Comando de Incidentes - Turma APA 2020</t>
  </si>
  <si>
    <t>16.647.435-3</t>
  </si>
  <si>
    <t>Conhecimentos em Proteção e Defesa Civil - Turma 6ª CORPDEC</t>
  </si>
  <si>
    <t>PDC</t>
  </si>
  <si>
    <t>16.914.487-7</t>
  </si>
  <si>
    <t>RISCOS E DESASTRES: conhecimentos fundamentais</t>
  </si>
  <si>
    <t>RD</t>
  </si>
  <si>
    <t>17.039.202-7</t>
  </si>
  <si>
    <t>SCI - Sistema de Comando de Incidentes - Turma RS 2020</t>
  </si>
  <si>
    <t>RESULTADOS DOS CURSOS DA ESCOLA DE DEFESA CIVIL NO ANO DE 2021</t>
  </si>
  <si>
    <t>Conhecimentos Básicos para Integrantes da Rede Estadual de Emergência de Radioamadores - TURMA 2021</t>
  </si>
  <si>
    <t>Sistema de Comando de Incidentes - Turma: 5ª Divisão de Exército - 2021</t>
  </si>
  <si>
    <t>Conhecimentos Básicos para Integrantes da Rede Estadual de Emergência de Radioamadores - TURMA II 2021</t>
  </si>
  <si>
    <t>Conhecimentos Fundamentais para Gestores Municipais de Proteção e Defesa Civil - TURMA I 2021</t>
  </si>
  <si>
    <t>CFGM</t>
  </si>
  <si>
    <t>Conhecimentos em Proteção e Defesa Civil</t>
  </si>
  <si>
    <t>Atendimento de Emergências em Edificações</t>
  </si>
  <si>
    <t>Conhecimentos Básicos para Integrantes da Rede Estadual de Emergência de Radioamadores - REER</t>
  </si>
  <si>
    <t>Sistema de Comando de Incidentes - SCI</t>
  </si>
  <si>
    <t>Conhecimentos Fundamentais para Gestores Municipais de Proteção e Defesa Civil</t>
  </si>
  <si>
    <t>17.778.492-3</t>
  </si>
  <si>
    <t>17.779.184-9</t>
  </si>
  <si>
    <t>17.885.177-2</t>
  </si>
  <si>
    <t>Conhecimentos Fundamentais para Gestores Municipais de Proteção e Defesa Civil - TURMA II 2021</t>
  </si>
  <si>
    <t>Sistema de Comando de Incidentes - Turma: COSMO - 2021</t>
  </si>
  <si>
    <t>senha: escola123</t>
  </si>
  <si>
    <t>17.991.638-0</t>
  </si>
  <si>
    <t>Rótulos de Linha</t>
  </si>
  <si>
    <t>Total Geral</t>
  </si>
  <si>
    <t>Rótulos de Coluna</t>
  </si>
  <si>
    <t>Soma de Inscritos</t>
  </si>
  <si>
    <t>Contagem de Curso</t>
  </si>
  <si>
    <t>Soma de Matriculados</t>
  </si>
  <si>
    <t>Soma de Aprovados</t>
  </si>
  <si>
    <t>Soma de Reprovados</t>
  </si>
  <si>
    <t>Total Soma de Matriculados</t>
  </si>
  <si>
    <t>Total Soma de Aprovados</t>
  </si>
  <si>
    <t>Total Soma de Reprovados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</si>
</sst>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</font>
    <font>
      <sz val="18"/>
      <name val="Calibri"/>
      <family val="2"/>
      <scheme val="minor"/>
    </font>
    <font>
      <sz val="9"/>
      <color theme="1"/>
      <name val="Arial"/>
      <family val="2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</fills>
  <borders count="3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 style="thin">
        <color rgb="FF999999"/>
      </right>
      <top style="thin">
        <color indexed="65"/>
      </top>
      <bottom style="thin">
        <color rgb="FF999999"/>
      </bottom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5" fillId="4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right" vertical="center" wrapText="1"/>
    </xf>
    <xf numFmtId="0" fontId="7" fillId="4" borderId="0" xfId="0" applyFont="1" applyFill="1" applyAlignment="1">
      <alignment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19" fillId="4" borderId="0" xfId="0" applyFont="1" applyFill="1" applyAlignment="1">
      <alignment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2" fontId="8" fillId="0" borderId="0" xfId="0" applyNumberFormat="1" applyFont="1" applyBorder="1" applyAlignment="1">
      <alignment horizontal="center" vertical="center" wrapText="1"/>
    </xf>
    <xf numFmtId="2" fontId="5" fillId="4" borderId="0" xfId="0" applyNumberFormat="1" applyFont="1" applyFill="1" applyAlignment="1">
      <alignment horizontal="center" vertical="center" wrapText="1"/>
    </xf>
    <xf numFmtId="2" fontId="15" fillId="0" borderId="0" xfId="0" applyNumberFormat="1" applyFont="1" applyBorder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right" vertical="center" wrapText="1"/>
    </xf>
    <xf numFmtId="0" fontId="21" fillId="0" borderId="14" xfId="0" applyFont="1" applyFill="1" applyBorder="1" applyAlignment="1">
      <alignment horizontal="center" vertical="center" wrapText="1"/>
    </xf>
    <xf numFmtId="2" fontId="21" fillId="0" borderId="7" xfId="0" applyNumberFormat="1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right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right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1" fillId="0" borderId="20" xfId="0" applyFont="1" applyFill="1" applyBorder="1" applyAlignment="1">
      <alignment horizontal="center" vertical="center" wrapText="1"/>
    </xf>
    <xf numFmtId="2" fontId="21" fillId="0" borderId="12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right" vertical="center" wrapText="1"/>
    </xf>
    <xf numFmtId="0" fontId="22" fillId="0" borderId="18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4" fillId="0" borderId="13" xfId="0" applyFont="1" applyFill="1" applyBorder="1" applyAlignment="1">
      <alignment horizontal="right" vertical="center" wrapText="1"/>
    </xf>
    <xf numFmtId="0" fontId="24" fillId="0" borderId="6" xfId="0" applyFont="1" applyFill="1" applyBorder="1" applyAlignment="1">
      <alignment horizontal="right" vertical="center" wrapText="1"/>
    </xf>
    <xf numFmtId="0" fontId="24" fillId="0" borderId="9" xfId="0" applyFont="1" applyFill="1" applyBorder="1" applyAlignment="1">
      <alignment horizontal="right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right" vertical="center" wrapText="1"/>
    </xf>
    <xf numFmtId="0" fontId="24" fillId="0" borderId="21" xfId="0" applyFont="1" applyFill="1" applyBorder="1" applyAlignment="1">
      <alignment horizontal="right" vertical="center" wrapText="1"/>
    </xf>
    <xf numFmtId="0" fontId="23" fillId="0" borderId="6" xfId="0" applyFont="1" applyFill="1" applyBorder="1" applyAlignment="1">
      <alignment horizontal="left" vertical="center" wrapText="1"/>
    </xf>
    <xf numFmtId="0" fontId="23" fillId="0" borderId="19" xfId="0" applyFont="1" applyFill="1" applyBorder="1" applyAlignment="1">
      <alignment horizontal="left" vertical="center" wrapText="1"/>
    </xf>
    <xf numFmtId="2" fontId="21" fillId="0" borderId="22" xfId="0" applyNumberFormat="1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Fill="1" applyAlignment="1" applyProtection="1">
      <alignment horizontal="center" vertical="center" wrapText="1"/>
      <protection locked="0"/>
    </xf>
    <xf numFmtId="0" fontId="26" fillId="0" borderId="0" xfId="0" applyFont="1" applyAlignment="1">
      <alignment horizontal="center" vertical="center" wrapText="1"/>
    </xf>
    <xf numFmtId="0" fontId="24" fillId="0" borderId="23" xfId="0" applyFont="1" applyFill="1" applyBorder="1" applyAlignment="1">
      <alignment horizontal="right" vertical="center" wrapText="1"/>
    </xf>
    <xf numFmtId="0" fontId="21" fillId="0" borderId="7" xfId="0" applyFont="1" applyBorder="1" applyAlignment="1">
      <alignment horizontal="center" vertical="center" wrapText="1"/>
    </xf>
    <xf numFmtId="2" fontId="22" fillId="0" borderId="4" xfId="0" applyNumberFormat="1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right" vertical="center" wrapText="1"/>
    </xf>
    <xf numFmtId="0" fontId="24" fillId="0" borderId="14" xfId="0" applyFont="1" applyFill="1" applyBorder="1" applyAlignment="1">
      <alignment horizontal="center" vertical="center" wrapText="1"/>
    </xf>
    <xf numFmtId="2" fontId="21" fillId="0" borderId="0" xfId="0" applyNumberFormat="1" applyFont="1" applyAlignment="1">
      <alignment horizontal="center" vertical="center" wrapText="1"/>
    </xf>
    <xf numFmtId="0" fontId="24" fillId="0" borderId="15" xfId="0" applyFont="1" applyFill="1" applyBorder="1" applyAlignment="1">
      <alignment horizontal="center" vertical="center" wrapText="1"/>
    </xf>
    <xf numFmtId="2" fontId="25" fillId="0" borderId="0" xfId="0" applyNumberFormat="1" applyFont="1" applyFill="1" applyBorder="1" applyAlignment="1">
      <alignment horizontal="center" vertical="center" wrapText="1"/>
    </xf>
    <xf numFmtId="2" fontId="21" fillId="0" borderId="20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2" fontId="21" fillId="0" borderId="10" xfId="0" applyNumberFormat="1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right" vertical="center" wrapText="1"/>
    </xf>
    <xf numFmtId="0" fontId="21" fillId="0" borderId="1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0" xfId="0" applyFill="1" applyAlignment="1" applyProtection="1">
      <alignment horizontal="center" vertical="center" wrapText="1"/>
      <protection locked="0"/>
    </xf>
    <xf numFmtId="0" fontId="29" fillId="0" borderId="0" xfId="0" applyFont="1" applyBorder="1" applyAlignment="1" applyProtection="1">
      <alignment horizontal="center" vertical="center" wrapText="1"/>
      <protection locked="0"/>
    </xf>
    <xf numFmtId="0" fontId="30" fillId="0" borderId="0" xfId="0" applyFont="1" applyFill="1" applyAlignment="1" applyProtection="1">
      <alignment horizontal="center" vertical="center" wrapText="1"/>
      <protection locked="0"/>
    </xf>
    <xf numFmtId="2" fontId="30" fillId="0" borderId="0" xfId="0" applyNumberFormat="1" applyFont="1" applyBorder="1" applyAlignment="1">
      <alignment horizontal="center" vertical="center" wrapText="1"/>
    </xf>
    <xf numFmtId="0" fontId="30" fillId="0" borderId="0" xfId="0" applyFont="1" applyBorder="1" applyAlignment="1" applyProtection="1">
      <alignment horizontal="center" vertical="center" wrapText="1"/>
      <protection locked="0"/>
    </xf>
    <xf numFmtId="0" fontId="30" fillId="0" borderId="0" xfId="0" applyNumberFormat="1" applyFont="1" applyFill="1" applyAlignment="1" applyProtection="1">
      <alignment horizontal="center" vertical="center" wrapText="1"/>
      <protection locked="0"/>
    </xf>
    <xf numFmtId="0" fontId="24" fillId="0" borderId="19" xfId="0" applyFont="1" applyFill="1" applyBorder="1" applyAlignment="1">
      <alignment horizontal="right"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center" vertical="center" wrapText="1"/>
    </xf>
    <xf numFmtId="0" fontId="21" fillId="0" borderId="25" xfId="0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left" vertical="top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5" fillId="3" borderId="0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center" wrapText="1"/>
    </xf>
    <xf numFmtId="0" fontId="20" fillId="0" borderId="24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left" vertical="center" wrapText="1"/>
    </xf>
    <xf numFmtId="0" fontId="28" fillId="0" borderId="10" xfId="0" applyFont="1" applyFill="1" applyBorder="1" applyAlignment="1">
      <alignment horizontal="left" vertical="center" wrapText="1"/>
    </xf>
    <xf numFmtId="0" fontId="28" fillId="0" borderId="11" xfId="0" applyFont="1" applyFill="1" applyBorder="1" applyAlignment="1">
      <alignment horizontal="left" vertical="center" wrapText="1"/>
    </xf>
    <xf numFmtId="0" fontId="28" fillId="0" borderId="6" xfId="0" applyFont="1" applyFill="1" applyBorder="1" applyAlignment="1">
      <alignment horizontal="left" vertical="center" wrapText="1"/>
    </xf>
    <xf numFmtId="0" fontId="28" fillId="0" borderId="7" xfId="0" applyFont="1" applyFill="1" applyBorder="1" applyAlignment="1">
      <alignment horizontal="left" vertical="center" wrapText="1"/>
    </xf>
    <xf numFmtId="0" fontId="28" fillId="0" borderId="8" xfId="0" applyFont="1" applyFill="1" applyBorder="1" applyAlignment="1">
      <alignment horizontal="left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0" xfId="0" applyAlignment="1">
      <alignment horizontal="left" indent="1"/>
    </xf>
    <xf numFmtId="0" fontId="0" fillId="0" borderId="35" xfId="0" applyBorder="1"/>
    <xf numFmtId="0" fontId="0" fillId="0" borderId="36" xfId="0" applyBorder="1"/>
    <xf numFmtId="0" fontId="0" fillId="0" borderId="26" xfId="0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29" xfId="0" applyBorder="1" applyAlignment="1">
      <alignment horizontal="left"/>
    </xf>
  </cellXfs>
  <cellStyles count="1">
    <cellStyle name="Normal" xfId="0" builtinId="0"/>
  </cellStyles>
  <dxfs count="36"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font>
        <strike val="0"/>
        <outline val="0"/>
        <shadow val="0"/>
        <u val="none"/>
        <vertAlign val="baseline"/>
        <sz val="18"/>
        <color theme="1"/>
        <name val="Calibri"/>
        <scheme val="minor"/>
      </font>
      <numFmt numFmtId="0" formatCode="General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8"/>
        <color theme="1"/>
        <name val="Calibri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8"/>
        <color theme="1"/>
        <name val="Calibri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scheme val="minor"/>
      </font>
      <numFmt numFmtId="2" formatCode="0.0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Calibri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8"/>
        <color theme="1"/>
        <name val="Calibri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8"/>
        <color theme="1"/>
        <name val="Calibri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8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color theme="0"/>
        <name val="Calibri"/>
        <scheme val="minor"/>
      </font>
      <fill>
        <patternFill patternType="solid">
          <fgColor indexed="64"/>
          <bgColor theme="4" tint="-0.249977111117893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thin">
          <color indexed="64"/>
        </horizontal>
      </border>
    </dxf>
  </dxfs>
  <tableStyles count="1" defaultTableStyle="TableStyleMedium2" defaultPivotStyle="PivotStyleLight16">
    <tableStyle name="Estilo de Tabe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07/relationships/slicerCache" Target="slicerCaches/slicerCache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07/relationships/slicerCache" Target="slicerCaches/slicerCache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[teste (Recuperado).xlsx]tabelas dinâmicas!Tabela dinâmica1</c:name>
    <c:fmtId val="3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'tabelas dinâmicas'!$B$5:$B$6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'tabelas dinâmicas'!$A$7:$A$14</c:f>
              <c:strCache>
                <c:ptCount val="7"/>
                <c:pt idx="0">
                  <c:v>CFGM</c:v>
                </c:pt>
                <c:pt idx="1">
                  <c:v>Emegências em Edificações</c:v>
                </c:pt>
                <c:pt idx="2">
                  <c:v>Fundamental</c:v>
                </c:pt>
                <c:pt idx="3">
                  <c:v>PDC</c:v>
                </c:pt>
                <c:pt idx="4">
                  <c:v>RD</c:v>
                </c:pt>
                <c:pt idx="5">
                  <c:v>REER</c:v>
                </c:pt>
                <c:pt idx="6">
                  <c:v>SCI</c:v>
                </c:pt>
              </c:strCache>
            </c:strRef>
          </c:cat>
          <c:val>
            <c:numRef>
              <c:f>'tabelas dinâmicas'!$B$7:$B$14</c:f>
              <c:numCache>
                <c:formatCode>General</c:formatCode>
                <c:ptCount val="7"/>
                <c:pt idx="1">
                  <c:v>2</c:v>
                </c:pt>
                <c:pt idx="2">
                  <c:v>1</c:v>
                </c:pt>
                <c:pt idx="5">
                  <c:v>1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3C-4F9F-9671-4735A88A16F9}"/>
            </c:ext>
          </c:extLst>
        </c:ser>
        <c:ser>
          <c:idx val="1"/>
          <c:order val="1"/>
          <c:tx>
            <c:strRef>
              <c:f>'tabelas dinâmicas'!$C$5:$C$6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'tabelas dinâmicas'!$A$7:$A$14</c:f>
              <c:strCache>
                <c:ptCount val="7"/>
                <c:pt idx="0">
                  <c:v>CFGM</c:v>
                </c:pt>
                <c:pt idx="1">
                  <c:v>Emegências em Edificações</c:v>
                </c:pt>
                <c:pt idx="2">
                  <c:v>Fundamental</c:v>
                </c:pt>
                <c:pt idx="3">
                  <c:v>PDC</c:v>
                </c:pt>
                <c:pt idx="4">
                  <c:v>RD</c:v>
                </c:pt>
                <c:pt idx="5">
                  <c:v>REER</c:v>
                </c:pt>
                <c:pt idx="6">
                  <c:v>SCI</c:v>
                </c:pt>
              </c:strCache>
            </c:strRef>
          </c:cat>
          <c:val>
            <c:numRef>
              <c:f>'tabelas dinâmicas'!$C$7:$C$14</c:f>
              <c:numCache>
                <c:formatCode>General</c:formatCode>
                <c:ptCount val="7"/>
                <c:pt idx="3">
                  <c:v>1</c:v>
                </c:pt>
                <c:pt idx="4">
                  <c:v>1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D3C-4F9F-9671-4735A88A16F9}"/>
            </c:ext>
          </c:extLst>
        </c:ser>
        <c:ser>
          <c:idx val="2"/>
          <c:order val="2"/>
          <c:tx>
            <c:strRef>
              <c:f>'tabelas dinâmicas'!$D$5:$D$6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'tabelas dinâmicas'!$A$7:$A$14</c:f>
              <c:strCache>
                <c:ptCount val="7"/>
                <c:pt idx="0">
                  <c:v>CFGM</c:v>
                </c:pt>
                <c:pt idx="1">
                  <c:v>Emegências em Edificações</c:v>
                </c:pt>
                <c:pt idx="2">
                  <c:v>Fundamental</c:v>
                </c:pt>
                <c:pt idx="3">
                  <c:v>PDC</c:v>
                </c:pt>
                <c:pt idx="4">
                  <c:v>RD</c:v>
                </c:pt>
                <c:pt idx="5">
                  <c:v>REER</c:v>
                </c:pt>
                <c:pt idx="6">
                  <c:v>SCI</c:v>
                </c:pt>
              </c:strCache>
            </c:strRef>
          </c:cat>
          <c:val>
            <c:numRef>
              <c:f>'tabelas dinâmicas'!$D$7:$D$14</c:f>
              <c:numCache>
                <c:formatCode>General</c:formatCode>
                <c:ptCount val="7"/>
                <c:pt idx="0">
                  <c:v>2</c:v>
                </c:pt>
                <c:pt idx="5">
                  <c:v>2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D3C-4F9F-9671-4735A88A1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18829696"/>
        <c:axId val="518830112"/>
      </c:barChart>
      <c:catAx>
        <c:axId val="5188296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18830112"/>
        <c:crosses val="autoZero"/>
        <c:auto val="1"/>
        <c:lblAlgn val="ctr"/>
        <c:lblOffset val="100"/>
        <c:noMultiLvlLbl val="0"/>
      </c:catAx>
      <c:valAx>
        <c:axId val="518830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18829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[teste (Recuperado).xlsx]tabelas dinâmicas!Tabela dinâmica3</c:name>
    <c:fmtId val="2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'tabelas dinâmicas'!$B$23:$B$24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'tabelas dinâmicas'!$A$25:$A$32</c:f>
              <c:strCache>
                <c:ptCount val="7"/>
                <c:pt idx="0">
                  <c:v>CFGM</c:v>
                </c:pt>
                <c:pt idx="1">
                  <c:v>Emegências em Edificações</c:v>
                </c:pt>
                <c:pt idx="2">
                  <c:v>Fundamental</c:v>
                </c:pt>
                <c:pt idx="3">
                  <c:v>PDC</c:v>
                </c:pt>
                <c:pt idx="4">
                  <c:v>RD</c:v>
                </c:pt>
                <c:pt idx="5">
                  <c:v>REER</c:v>
                </c:pt>
                <c:pt idx="6">
                  <c:v>SCI</c:v>
                </c:pt>
              </c:strCache>
            </c:strRef>
          </c:cat>
          <c:val>
            <c:numRef>
              <c:f>'tabelas dinâmicas'!$B$25:$B$32</c:f>
              <c:numCache>
                <c:formatCode>General</c:formatCode>
                <c:ptCount val="7"/>
                <c:pt idx="1">
                  <c:v>374</c:v>
                </c:pt>
                <c:pt idx="2">
                  <c:v>42</c:v>
                </c:pt>
                <c:pt idx="5">
                  <c:v>137</c:v>
                </c:pt>
                <c:pt idx="6">
                  <c:v>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93-4AAE-94F7-5313B065C4B0}"/>
            </c:ext>
          </c:extLst>
        </c:ser>
        <c:ser>
          <c:idx val="1"/>
          <c:order val="1"/>
          <c:tx>
            <c:strRef>
              <c:f>'tabelas dinâmicas'!$C$23:$C$24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'tabelas dinâmicas'!$A$25:$A$32</c:f>
              <c:strCache>
                <c:ptCount val="7"/>
                <c:pt idx="0">
                  <c:v>CFGM</c:v>
                </c:pt>
                <c:pt idx="1">
                  <c:v>Emegências em Edificações</c:v>
                </c:pt>
                <c:pt idx="2">
                  <c:v>Fundamental</c:v>
                </c:pt>
                <c:pt idx="3">
                  <c:v>PDC</c:v>
                </c:pt>
                <c:pt idx="4">
                  <c:v>RD</c:v>
                </c:pt>
                <c:pt idx="5">
                  <c:v>REER</c:v>
                </c:pt>
                <c:pt idx="6">
                  <c:v>SCI</c:v>
                </c:pt>
              </c:strCache>
            </c:strRef>
          </c:cat>
          <c:val>
            <c:numRef>
              <c:f>'tabelas dinâmicas'!$C$25:$C$32</c:f>
              <c:numCache>
                <c:formatCode>General</c:formatCode>
                <c:ptCount val="7"/>
                <c:pt idx="3">
                  <c:v>74</c:v>
                </c:pt>
                <c:pt idx="4">
                  <c:v>71</c:v>
                </c:pt>
                <c:pt idx="6">
                  <c:v>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A93-4AAE-94F7-5313B065C4B0}"/>
            </c:ext>
          </c:extLst>
        </c:ser>
        <c:ser>
          <c:idx val="2"/>
          <c:order val="2"/>
          <c:tx>
            <c:strRef>
              <c:f>'tabelas dinâmicas'!$D$23:$D$24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'tabelas dinâmicas'!$A$25:$A$32</c:f>
              <c:strCache>
                <c:ptCount val="7"/>
                <c:pt idx="0">
                  <c:v>CFGM</c:v>
                </c:pt>
                <c:pt idx="1">
                  <c:v>Emegências em Edificações</c:v>
                </c:pt>
                <c:pt idx="2">
                  <c:v>Fundamental</c:v>
                </c:pt>
                <c:pt idx="3">
                  <c:v>PDC</c:v>
                </c:pt>
                <c:pt idx="4">
                  <c:v>RD</c:v>
                </c:pt>
                <c:pt idx="5">
                  <c:v>REER</c:v>
                </c:pt>
                <c:pt idx="6">
                  <c:v>SCI</c:v>
                </c:pt>
              </c:strCache>
            </c:strRef>
          </c:cat>
          <c:val>
            <c:numRef>
              <c:f>'tabelas dinâmicas'!$D$25:$D$32</c:f>
              <c:numCache>
                <c:formatCode>General</c:formatCode>
                <c:ptCount val="7"/>
                <c:pt idx="0">
                  <c:v>210</c:v>
                </c:pt>
                <c:pt idx="5">
                  <c:v>166</c:v>
                </c:pt>
                <c:pt idx="6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A93-4AAE-94F7-5313B065C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0227439"/>
        <c:axId val="1120227855"/>
      </c:barChart>
      <c:catAx>
        <c:axId val="1120227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20227855"/>
        <c:crosses val="autoZero"/>
        <c:auto val="1"/>
        <c:lblAlgn val="ctr"/>
        <c:lblOffset val="100"/>
        <c:noMultiLvlLbl val="0"/>
      </c:catAx>
      <c:valAx>
        <c:axId val="1120227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20227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[teste (Recuperado).xlsx]tabelas dinâmicas!Tabela dinâmica2</c:name>
    <c:fmtId val="4"/>
  </c:pivotSource>
  <c:chart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</c:pivotFmt>
      <c:pivotFmt>
        <c:idx val="9"/>
      </c:pivotFmt>
      <c:pivotFmt>
        <c:idx val="10"/>
      </c:pivotFmt>
      <c:pivotFmt>
        <c:idx val="11"/>
      </c:pivotFmt>
      <c:pivotFmt>
        <c:idx val="12"/>
      </c:pivotFmt>
      <c:pivotFmt>
        <c:idx val="13"/>
      </c:pivotFmt>
      <c:pivotFmt>
        <c:idx val="14"/>
      </c:pivotFmt>
      <c:pivotFmt>
        <c:idx val="15"/>
      </c:pivotFmt>
      <c:pivotFmt>
        <c:idx val="16"/>
      </c:pivotFmt>
      <c:pivotFmt>
        <c:idx val="17"/>
      </c:pivotFmt>
      <c:pivotFmt>
        <c:idx val="18"/>
      </c:pivotFmt>
      <c:pivotFmt>
        <c:idx val="19"/>
      </c:pivotFmt>
      <c:pivotFmt>
        <c:idx val="20"/>
      </c:pivotFmt>
      <c:pivotFmt>
        <c:idx val="2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diamond"/>
          <c:size val="5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square"/>
          <c:size val="5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triangle"/>
          <c:size val="5"/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x"/>
          <c:size val="5"/>
          <c:spPr>
            <a:noFill/>
            <a:ln w="9525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star"/>
          <c:size val="5"/>
          <c:spPr>
            <a:noFill/>
            <a:ln w="9525">
              <a:solidFill>
                <a:schemeClr val="accent5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5"/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6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plus"/>
          <c:size val="5"/>
          <c:spPr>
            <a:noFill/>
            <a:ln w="9525">
              <a:solidFill>
                <a:schemeClr val="accent1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dot"/>
          <c:size val="5"/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2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dash"/>
          <c:size val="5"/>
          <c:spPr>
            <a:gradFill rotWithShape="1">
              <a:gsLst>
                <a:gs pos="0">
                  <a:schemeClr val="accent3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3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diamond"/>
          <c:size val="5"/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4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square"/>
          <c:size val="5"/>
          <c:spPr>
            <a:gradFill rotWithShape="1">
              <a:gsLst>
                <a:gs pos="0">
                  <a:schemeClr val="accent5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5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triangle"/>
          <c:size val="5"/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6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x"/>
          <c:size val="5"/>
          <c:spPr>
            <a:noFill/>
            <a:ln w="9525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star"/>
          <c:size val="5"/>
          <c:spPr>
            <a:noFill/>
            <a:ln w="9525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5"/>
          <c:spPr>
            <a:gradFill rotWithShape="1">
              <a:gsLst>
                <a:gs pos="0">
                  <a:schemeClr val="accent3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plus"/>
          <c:size val="5"/>
          <c:spPr>
            <a:noFill/>
            <a:ln w="9525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dot"/>
          <c:size val="5"/>
          <c:spPr>
            <a:gradFill rotWithShape="1">
              <a:gsLst>
                <a:gs pos="0">
                  <a:schemeClr val="accent5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dash"/>
          <c:size val="5"/>
          <c:spPr>
            <a:gradFill rotWithShape="1">
              <a:gsLst>
                <a:gs pos="0">
                  <a:schemeClr val="accent6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diamond"/>
          <c:size val="5"/>
          <c:spPr>
            <a:gradFill rotWithShape="1">
              <a:gsLst>
                <a:gs pos="0">
                  <a:schemeClr val="accent1">
                    <a:lumMod val="8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8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8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1">
                  <a:lumMod val="8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square"/>
          <c:size val="5"/>
          <c:spPr>
            <a:gradFill rotWithShape="1">
              <a:gsLst>
                <a:gs pos="0">
                  <a:schemeClr val="accent2">
                    <a:lumMod val="8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8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8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2">
                  <a:lumMod val="8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triangle"/>
          <c:size val="5"/>
          <c:spPr>
            <a:gradFill rotWithShape="1">
              <a:gsLst>
                <a:gs pos="0">
                  <a:schemeClr val="accent3">
                    <a:lumMod val="8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8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8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3">
                  <a:lumMod val="8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6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65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66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67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68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69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7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7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7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7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7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75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76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77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78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79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8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8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8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8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8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85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86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87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9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'tabelas dinâmicas'!$I$3:$I$4</c:f>
              <c:strCache>
                <c:ptCount val="1"/>
                <c:pt idx="0">
                  <c:v>2019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elete val="1"/>
          </c:dLbls>
          <c:cat>
            <c:multiLvlStrRef>
              <c:f>'tabelas dinâmicas'!$H$5:$H$35</c:f>
              <c:multiLvlStrCache>
                <c:ptCount val="21"/>
                <c:lvl>
                  <c:pt idx="0">
                    <c:v>Soma de Matriculados</c:v>
                  </c:pt>
                  <c:pt idx="1">
                    <c:v>Soma de Aprovados</c:v>
                  </c:pt>
                  <c:pt idx="2">
                    <c:v>Soma de Reprovados</c:v>
                  </c:pt>
                  <c:pt idx="3">
                    <c:v>Soma de Matriculados</c:v>
                  </c:pt>
                  <c:pt idx="4">
                    <c:v>Soma de Aprovados</c:v>
                  </c:pt>
                  <c:pt idx="5">
                    <c:v>Soma de Reprovados</c:v>
                  </c:pt>
                  <c:pt idx="6">
                    <c:v>Soma de Matriculados</c:v>
                  </c:pt>
                  <c:pt idx="7">
                    <c:v>Soma de Aprovados</c:v>
                  </c:pt>
                  <c:pt idx="8">
                    <c:v>Soma de Reprovados</c:v>
                  </c:pt>
                  <c:pt idx="9">
                    <c:v>Soma de Matriculados</c:v>
                  </c:pt>
                  <c:pt idx="10">
                    <c:v>Soma de Aprovados</c:v>
                  </c:pt>
                  <c:pt idx="11">
                    <c:v>Soma de Reprovados</c:v>
                  </c:pt>
                  <c:pt idx="12">
                    <c:v>Soma de Matriculados</c:v>
                  </c:pt>
                  <c:pt idx="13">
                    <c:v>Soma de Aprovados</c:v>
                  </c:pt>
                  <c:pt idx="14">
                    <c:v>Soma de Reprovados</c:v>
                  </c:pt>
                  <c:pt idx="15">
                    <c:v>Soma de Matriculados</c:v>
                  </c:pt>
                  <c:pt idx="16">
                    <c:v>Soma de Aprovados</c:v>
                  </c:pt>
                  <c:pt idx="17">
                    <c:v>Soma de Reprovados</c:v>
                  </c:pt>
                  <c:pt idx="18">
                    <c:v>Soma de Matriculados</c:v>
                  </c:pt>
                  <c:pt idx="19">
                    <c:v>Soma de Aprovados</c:v>
                  </c:pt>
                  <c:pt idx="20">
                    <c:v>Soma de Reprovados</c:v>
                  </c:pt>
                </c:lvl>
                <c:lvl>
                  <c:pt idx="0">
                    <c:v>CFGM</c:v>
                  </c:pt>
                  <c:pt idx="3">
                    <c:v>Emegências em Edificações</c:v>
                  </c:pt>
                  <c:pt idx="6">
                    <c:v>Fundamental</c:v>
                  </c:pt>
                  <c:pt idx="9">
                    <c:v>PDC</c:v>
                  </c:pt>
                  <c:pt idx="12">
                    <c:v>RD</c:v>
                  </c:pt>
                  <c:pt idx="15">
                    <c:v>REER</c:v>
                  </c:pt>
                  <c:pt idx="18">
                    <c:v>SCI</c:v>
                  </c:pt>
                </c:lvl>
              </c:multiLvlStrCache>
            </c:multiLvlStrRef>
          </c:cat>
          <c:val>
            <c:numRef>
              <c:f>'tabelas dinâmicas'!$I$5:$I$35</c:f>
              <c:numCache>
                <c:formatCode>General</c:formatCode>
                <c:ptCount val="21"/>
                <c:pt idx="3">
                  <c:v>374</c:v>
                </c:pt>
                <c:pt idx="4">
                  <c:v>262</c:v>
                </c:pt>
                <c:pt idx="5">
                  <c:v>15</c:v>
                </c:pt>
                <c:pt idx="6">
                  <c:v>17</c:v>
                </c:pt>
                <c:pt idx="7">
                  <c:v>16</c:v>
                </c:pt>
                <c:pt idx="8">
                  <c:v>1</c:v>
                </c:pt>
                <c:pt idx="15">
                  <c:v>137</c:v>
                </c:pt>
                <c:pt idx="16">
                  <c:v>99</c:v>
                </c:pt>
                <c:pt idx="17">
                  <c:v>10</c:v>
                </c:pt>
                <c:pt idx="18">
                  <c:v>147</c:v>
                </c:pt>
                <c:pt idx="19">
                  <c:v>91</c:v>
                </c:pt>
                <c:pt idx="2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D5-4482-B523-9DFEF178F8E9}"/>
            </c:ext>
          </c:extLst>
        </c:ser>
        <c:ser>
          <c:idx val="1"/>
          <c:order val="1"/>
          <c:tx>
            <c:strRef>
              <c:f>'tabelas dinâmicas'!$J$3:$J$4</c:f>
              <c:strCache>
                <c:ptCount val="1"/>
                <c:pt idx="0">
                  <c:v>2020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'tabelas dinâmicas'!$H$5:$H$35</c:f>
              <c:multiLvlStrCache>
                <c:ptCount val="21"/>
                <c:lvl>
                  <c:pt idx="0">
                    <c:v>Soma de Matriculados</c:v>
                  </c:pt>
                  <c:pt idx="1">
                    <c:v>Soma de Aprovados</c:v>
                  </c:pt>
                  <c:pt idx="2">
                    <c:v>Soma de Reprovados</c:v>
                  </c:pt>
                  <c:pt idx="3">
                    <c:v>Soma de Matriculados</c:v>
                  </c:pt>
                  <c:pt idx="4">
                    <c:v>Soma de Aprovados</c:v>
                  </c:pt>
                  <c:pt idx="5">
                    <c:v>Soma de Reprovados</c:v>
                  </c:pt>
                  <c:pt idx="6">
                    <c:v>Soma de Matriculados</c:v>
                  </c:pt>
                  <c:pt idx="7">
                    <c:v>Soma de Aprovados</c:v>
                  </c:pt>
                  <c:pt idx="8">
                    <c:v>Soma de Reprovados</c:v>
                  </c:pt>
                  <c:pt idx="9">
                    <c:v>Soma de Matriculados</c:v>
                  </c:pt>
                  <c:pt idx="10">
                    <c:v>Soma de Aprovados</c:v>
                  </c:pt>
                  <c:pt idx="11">
                    <c:v>Soma de Reprovados</c:v>
                  </c:pt>
                  <c:pt idx="12">
                    <c:v>Soma de Matriculados</c:v>
                  </c:pt>
                  <c:pt idx="13">
                    <c:v>Soma de Aprovados</c:v>
                  </c:pt>
                  <c:pt idx="14">
                    <c:v>Soma de Reprovados</c:v>
                  </c:pt>
                  <c:pt idx="15">
                    <c:v>Soma de Matriculados</c:v>
                  </c:pt>
                  <c:pt idx="16">
                    <c:v>Soma de Aprovados</c:v>
                  </c:pt>
                  <c:pt idx="17">
                    <c:v>Soma de Reprovados</c:v>
                  </c:pt>
                  <c:pt idx="18">
                    <c:v>Soma de Matriculados</c:v>
                  </c:pt>
                  <c:pt idx="19">
                    <c:v>Soma de Aprovados</c:v>
                  </c:pt>
                  <c:pt idx="20">
                    <c:v>Soma de Reprovados</c:v>
                  </c:pt>
                </c:lvl>
                <c:lvl>
                  <c:pt idx="0">
                    <c:v>CFGM</c:v>
                  </c:pt>
                  <c:pt idx="3">
                    <c:v>Emegências em Edificações</c:v>
                  </c:pt>
                  <c:pt idx="6">
                    <c:v>Fundamental</c:v>
                  </c:pt>
                  <c:pt idx="9">
                    <c:v>PDC</c:v>
                  </c:pt>
                  <c:pt idx="12">
                    <c:v>RD</c:v>
                  </c:pt>
                  <c:pt idx="15">
                    <c:v>REER</c:v>
                  </c:pt>
                  <c:pt idx="18">
                    <c:v>SCI</c:v>
                  </c:pt>
                </c:lvl>
              </c:multiLvlStrCache>
            </c:multiLvlStrRef>
          </c:cat>
          <c:val>
            <c:numRef>
              <c:f>'tabelas dinâmicas'!$J$5:$J$35</c:f>
              <c:numCache>
                <c:formatCode>General</c:formatCode>
                <c:ptCount val="21"/>
                <c:pt idx="9">
                  <c:v>74</c:v>
                </c:pt>
                <c:pt idx="10">
                  <c:v>61</c:v>
                </c:pt>
                <c:pt idx="11">
                  <c:v>2</c:v>
                </c:pt>
                <c:pt idx="12">
                  <c:v>71</c:v>
                </c:pt>
                <c:pt idx="13">
                  <c:v>53</c:v>
                </c:pt>
                <c:pt idx="14">
                  <c:v>3</c:v>
                </c:pt>
                <c:pt idx="18">
                  <c:v>187</c:v>
                </c:pt>
                <c:pt idx="19">
                  <c:v>125</c:v>
                </c:pt>
                <c:pt idx="2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54D5-4482-B523-9DFEF178F8E9}"/>
            </c:ext>
          </c:extLst>
        </c:ser>
        <c:ser>
          <c:idx val="2"/>
          <c:order val="2"/>
          <c:tx>
            <c:strRef>
              <c:f>'tabelas dinâmicas'!$K$3:$K$4</c:f>
              <c:strCache>
                <c:ptCount val="1"/>
                <c:pt idx="0">
                  <c:v>2021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'tabelas dinâmicas'!$H$5:$H$35</c:f>
              <c:multiLvlStrCache>
                <c:ptCount val="21"/>
                <c:lvl>
                  <c:pt idx="0">
                    <c:v>Soma de Matriculados</c:v>
                  </c:pt>
                  <c:pt idx="1">
                    <c:v>Soma de Aprovados</c:v>
                  </c:pt>
                  <c:pt idx="2">
                    <c:v>Soma de Reprovados</c:v>
                  </c:pt>
                  <c:pt idx="3">
                    <c:v>Soma de Matriculados</c:v>
                  </c:pt>
                  <c:pt idx="4">
                    <c:v>Soma de Aprovados</c:v>
                  </c:pt>
                  <c:pt idx="5">
                    <c:v>Soma de Reprovados</c:v>
                  </c:pt>
                  <c:pt idx="6">
                    <c:v>Soma de Matriculados</c:v>
                  </c:pt>
                  <c:pt idx="7">
                    <c:v>Soma de Aprovados</c:v>
                  </c:pt>
                  <c:pt idx="8">
                    <c:v>Soma de Reprovados</c:v>
                  </c:pt>
                  <c:pt idx="9">
                    <c:v>Soma de Matriculados</c:v>
                  </c:pt>
                  <c:pt idx="10">
                    <c:v>Soma de Aprovados</c:v>
                  </c:pt>
                  <c:pt idx="11">
                    <c:v>Soma de Reprovados</c:v>
                  </c:pt>
                  <c:pt idx="12">
                    <c:v>Soma de Matriculados</c:v>
                  </c:pt>
                  <c:pt idx="13">
                    <c:v>Soma de Aprovados</c:v>
                  </c:pt>
                  <c:pt idx="14">
                    <c:v>Soma de Reprovados</c:v>
                  </c:pt>
                  <c:pt idx="15">
                    <c:v>Soma de Matriculados</c:v>
                  </c:pt>
                  <c:pt idx="16">
                    <c:v>Soma de Aprovados</c:v>
                  </c:pt>
                  <c:pt idx="17">
                    <c:v>Soma de Reprovados</c:v>
                  </c:pt>
                  <c:pt idx="18">
                    <c:v>Soma de Matriculados</c:v>
                  </c:pt>
                  <c:pt idx="19">
                    <c:v>Soma de Aprovados</c:v>
                  </c:pt>
                  <c:pt idx="20">
                    <c:v>Soma de Reprovados</c:v>
                  </c:pt>
                </c:lvl>
                <c:lvl>
                  <c:pt idx="0">
                    <c:v>CFGM</c:v>
                  </c:pt>
                  <c:pt idx="3">
                    <c:v>Emegências em Edificações</c:v>
                  </c:pt>
                  <c:pt idx="6">
                    <c:v>Fundamental</c:v>
                  </c:pt>
                  <c:pt idx="9">
                    <c:v>PDC</c:v>
                  </c:pt>
                  <c:pt idx="12">
                    <c:v>RD</c:v>
                  </c:pt>
                  <c:pt idx="15">
                    <c:v>REER</c:v>
                  </c:pt>
                  <c:pt idx="18">
                    <c:v>SCI</c:v>
                  </c:pt>
                </c:lvl>
              </c:multiLvlStrCache>
            </c:multiLvlStrRef>
          </c:cat>
          <c:val>
            <c:numRef>
              <c:f>'tabelas dinâmicas'!$K$5:$K$35</c:f>
              <c:numCache>
                <c:formatCode>General</c:formatCode>
                <c:ptCount val="21"/>
                <c:pt idx="0">
                  <c:v>210</c:v>
                </c:pt>
                <c:pt idx="1">
                  <c:v>128</c:v>
                </c:pt>
                <c:pt idx="2">
                  <c:v>2</c:v>
                </c:pt>
                <c:pt idx="15">
                  <c:v>166</c:v>
                </c:pt>
                <c:pt idx="16">
                  <c:v>99</c:v>
                </c:pt>
                <c:pt idx="17">
                  <c:v>8</c:v>
                </c:pt>
                <c:pt idx="18">
                  <c:v>28</c:v>
                </c:pt>
                <c:pt idx="19">
                  <c:v>27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54D5-4482-B523-9DFEF178F8E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1086661792"/>
        <c:axId val="1086662208"/>
      </c:barChart>
      <c:catAx>
        <c:axId val="10866617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86662208"/>
        <c:crosses val="autoZero"/>
        <c:auto val="1"/>
        <c:lblAlgn val="ctr"/>
        <c:lblOffset val="100"/>
        <c:noMultiLvlLbl val="0"/>
      </c:catAx>
      <c:valAx>
        <c:axId val="10866622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86661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0</xdr:colOff>
      <xdr:row>13</xdr:row>
      <xdr:rowOff>47625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6" name="Nome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ome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0</xdr:colOff>
      <xdr:row>13</xdr:row>
      <xdr:rowOff>142875</xdr:rowOff>
    </xdr:from>
    <xdr:to>
      <xdr:col>3</xdr:col>
      <xdr:colOff>0</xdr:colOff>
      <xdr:row>27</xdr:row>
      <xdr:rowOff>0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10" name="Ano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no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261937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twoCellAnchor>
    <xdr:from>
      <xdr:col>3</xdr:col>
      <xdr:colOff>76200</xdr:colOff>
      <xdr:row>0</xdr:row>
      <xdr:rowOff>0</xdr:rowOff>
    </xdr:from>
    <xdr:to>
      <xdr:col>13</xdr:col>
      <xdr:colOff>66675</xdr:colOff>
      <xdr:row>15</xdr:row>
      <xdr:rowOff>47625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85725</xdr:colOff>
      <xdr:row>15</xdr:row>
      <xdr:rowOff>57150</xdr:rowOff>
    </xdr:from>
    <xdr:to>
      <xdr:col>13</xdr:col>
      <xdr:colOff>66675</xdr:colOff>
      <xdr:row>33</xdr:row>
      <xdr:rowOff>47625</xdr:rowOff>
    </xdr:to>
    <xdr:graphicFrame macro="">
      <xdr:nvGraphicFramePr>
        <xdr:cNvPr id="13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209550</xdr:colOff>
      <xdr:row>0</xdr:row>
      <xdr:rowOff>0</xdr:rowOff>
    </xdr:from>
    <xdr:to>
      <xdr:col>24</xdr:col>
      <xdr:colOff>9525</xdr:colOff>
      <xdr:row>33</xdr:row>
      <xdr:rowOff>47625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154781</xdr:colOff>
      <xdr:row>2</xdr:row>
      <xdr:rowOff>0</xdr:rowOff>
    </xdr:from>
    <xdr:ext cx="184731" cy="264560"/>
    <xdr:sp macro="" textlink="">
      <xdr:nvSpPr>
        <xdr:cNvPr id="2" name="CaixaDeTexto 1"/>
        <xdr:cNvSpPr txBox="1"/>
      </xdr:nvSpPr>
      <xdr:spPr>
        <a:xfrm>
          <a:off x="12799219" y="3702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223156</xdr:colOff>
      <xdr:row>0</xdr:row>
      <xdr:rowOff>26276</xdr:rowOff>
    </xdr:from>
    <xdr:to>
      <xdr:col>0</xdr:col>
      <xdr:colOff>1470821</xdr:colOff>
      <xdr:row>0</xdr:row>
      <xdr:rowOff>568867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3156" y="26276"/>
          <a:ext cx="1247665" cy="542591"/>
        </a:xfrm>
        <a:prstGeom prst="rect">
          <a:avLst/>
        </a:prstGeom>
      </xdr:spPr>
    </xdr:pic>
    <xdr:clientData/>
  </xdr:twoCellAnchor>
  <xdr:twoCellAnchor editAs="oneCell">
    <xdr:from>
      <xdr:col>8</xdr:col>
      <xdr:colOff>354724</xdr:colOff>
      <xdr:row>0</xdr:row>
      <xdr:rowOff>98534</xdr:rowOff>
    </xdr:from>
    <xdr:to>
      <xdr:col>9</xdr:col>
      <xdr:colOff>418454</xdr:colOff>
      <xdr:row>0</xdr:row>
      <xdr:rowOff>549677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93724" y="98534"/>
          <a:ext cx="1042506" cy="45114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203200</xdr:colOff>
      <xdr:row>0</xdr:row>
      <xdr:rowOff>28708</xdr:rowOff>
    </xdr:from>
    <xdr:to>
      <xdr:col>0</xdr:col>
      <xdr:colOff>1530350</xdr:colOff>
      <xdr:row>0</xdr:row>
      <xdr:rowOff>605866</xdr:rowOff>
    </xdr:to>
    <xdr:pic>
      <xdr:nvPicPr>
        <xdr:cNvPr id="11" name="Imagem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3200" y="28708"/>
          <a:ext cx="1327150" cy="577158"/>
        </a:xfrm>
        <a:prstGeom prst="rect">
          <a:avLst/>
        </a:prstGeom>
      </xdr:spPr>
    </xdr:pic>
    <xdr:clientData/>
  </xdr:twoCellAnchor>
  <xdr:twoCellAnchor editAs="oneCell">
    <xdr:from>
      <xdr:col>8</xdr:col>
      <xdr:colOff>406400</xdr:colOff>
      <xdr:row>0</xdr:row>
      <xdr:rowOff>101432</xdr:rowOff>
    </xdr:from>
    <xdr:to>
      <xdr:col>9</xdr:col>
      <xdr:colOff>463550</xdr:colOff>
      <xdr:row>0</xdr:row>
      <xdr:rowOff>556668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5400" y="101432"/>
          <a:ext cx="1041400" cy="45523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406400</xdr:colOff>
      <xdr:row>0</xdr:row>
      <xdr:rowOff>107950</xdr:rowOff>
    </xdr:from>
    <xdr:to>
      <xdr:col>9</xdr:col>
      <xdr:colOff>464656</xdr:colOff>
      <xdr:row>0</xdr:row>
      <xdr:rowOff>559093</xdr:rowOff>
    </xdr:to>
    <xdr:pic>
      <xdr:nvPicPr>
        <xdr:cNvPr id="23" name="Imagem 2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45400" y="107950"/>
          <a:ext cx="1042506" cy="451143"/>
        </a:xfrm>
        <a:prstGeom prst="rect">
          <a:avLst/>
        </a:prstGeom>
      </xdr:spPr>
    </xdr:pic>
    <xdr:clientData/>
  </xdr:twoCellAnchor>
  <xdr:twoCellAnchor editAs="oneCell">
    <xdr:from>
      <xdr:col>0</xdr:col>
      <xdr:colOff>91933</xdr:colOff>
      <xdr:row>0</xdr:row>
      <xdr:rowOff>72258</xdr:rowOff>
    </xdr:from>
    <xdr:to>
      <xdr:col>0</xdr:col>
      <xdr:colOff>1524617</xdr:colOff>
      <xdr:row>0</xdr:row>
      <xdr:rowOff>614849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933" y="72258"/>
          <a:ext cx="1432684" cy="54259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400707</xdr:colOff>
      <xdr:row>0</xdr:row>
      <xdr:rowOff>105103</xdr:rowOff>
    </xdr:from>
    <xdr:to>
      <xdr:col>9</xdr:col>
      <xdr:colOff>458963</xdr:colOff>
      <xdr:row>0</xdr:row>
      <xdr:rowOff>556246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39707" y="105103"/>
          <a:ext cx="1037032" cy="451143"/>
        </a:xfrm>
        <a:prstGeom prst="rect">
          <a:avLst/>
        </a:prstGeom>
      </xdr:spPr>
    </xdr:pic>
    <xdr:clientData/>
  </xdr:twoCellAnchor>
  <xdr:twoCellAnchor editAs="oneCell">
    <xdr:from>
      <xdr:col>0</xdr:col>
      <xdr:colOff>91935</xdr:colOff>
      <xdr:row>0</xdr:row>
      <xdr:rowOff>72258</xdr:rowOff>
    </xdr:from>
    <xdr:to>
      <xdr:col>0</xdr:col>
      <xdr:colOff>1522349</xdr:colOff>
      <xdr:row>0</xdr:row>
      <xdr:rowOff>617483</xdr:rowOff>
    </xdr:to>
    <xdr:pic>
      <xdr:nvPicPr>
        <xdr:cNvPr id="8" name="Imagem 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35" y="72258"/>
          <a:ext cx="1430414" cy="5452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177877</xdr:colOff>
      <xdr:row>0</xdr:row>
      <xdr:rowOff>126235</xdr:rowOff>
    </xdr:from>
    <xdr:to>
      <xdr:col>0</xdr:col>
      <xdr:colOff>1208130</xdr:colOff>
      <xdr:row>0</xdr:row>
      <xdr:rowOff>516416</xdr:rowOff>
    </xdr:to>
    <xdr:pic>
      <xdr:nvPicPr>
        <xdr:cNvPr id="9" name="Imagem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877" y="126235"/>
          <a:ext cx="1030253" cy="390181"/>
        </a:xfrm>
        <a:prstGeom prst="rect">
          <a:avLst/>
        </a:prstGeom>
      </xdr:spPr>
    </xdr:pic>
    <xdr:clientData/>
  </xdr:twoCellAnchor>
  <xdr:twoCellAnchor editAs="oneCell">
    <xdr:from>
      <xdr:col>4</xdr:col>
      <xdr:colOff>28690</xdr:colOff>
      <xdr:row>0</xdr:row>
      <xdr:rowOff>139602</xdr:rowOff>
    </xdr:from>
    <xdr:to>
      <xdr:col>5</xdr:col>
      <xdr:colOff>206413</xdr:colOff>
      <xdr:row>0</xdr:row>
      <xdr:rowOff>499203</xdr:rowOff>
    </xdr:to>
    <xdr:pic>
      <xdr:nvPicPr>
        <xdr:cNvPr id="10" name="Imagem 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61672" y="139602"/>
          <a:ext cx="826111" cy="359601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FABIO DELEK" refreshedDate="44439.423492708331" createdVersion="6" refreshedVersion="6" minRefreshableVersion="3" recordCount="16">
  <cacheSource type="worksheet">
    <worksheetSource name="Tabela3[[Nome]:[Nunca acessaram o curso]]"/>
  </cacheSource>
  <cacheFields count="12">
    <cacheField name="Nome" numFmtId="0">
      <sharedItems count="7">
        <s v="Fundamental"/>
        <s v="REER"/>
        <s v="SCI"/>
        <s v="Emegências em Edificações"/>
        <s v="PDC"/>
        <s v="RD"/>
        <s v="CFGM"/>
      </sharedItems>
    </cacheField>
    <cacheField name="Curso" numFmtId="0">
      <sharedItems count="16">
        <s v="Conhecimentos Fundamentais em Proteção e Defesa Civil - DPDC"/>
        <s v="Conhecimentos Básicos para Integrantes da Rede Estadual de Emergência de Radioamadores - REER - Turma 2019"/>
        <s v="SCI - Sistema de Comando de Incidentes"/>
        <s v="SCI - Sistema de Comando de Incidentes - Turma ADAPAR"/>
        <s v="SCI - Sistema de Comando de Incidentes - Turma II ADAPAR"/>
        <s v="Atendimento de Emergências em Edificações - Turma CELEPAR"/>
        <s v="Atendimento de Emergências em Edificações - Turma UEM"/>
        <s v="SCI - Sistema de Comando de Incidentes - Turma APA 2020"/>
        <s v="Conhecimentos em Proteção e Defesa Civil - Turma 6ª CORPDEC"/>
        <s v="RISCOS E DESASTRES: conhecimentos fundamentais"/>
        <s v="SCI - Sistema de Comando de Incidentes - Turma RS 2020"/>
        <s v="Conhecimentos Básicos para Integrantes da Rede Estadual de Emergência de Radioamadores - TURMA 2021"/>
        <s v="Conhecimentos Fundamentais para Gestores Municipais de Proteção e Defesa Civil - TURMA I 2021"/>
        <s v="Sistema de Comando de Incidentes - Turma: 5ª Divisão de Exército - 2021"/>
        <s v="Conhecimentos Básicos para Integrantes da Rede Estadual de Emergência de Radioamadores - TURMA II 2021"/>
        <s v="Conhecimentos Fundamentais para Gestores Municipais de Proteção e Defesa Civil - TURMA II 2021"/>
      </sharedItems>
    </cacheField>
    <cacheField name="Ano" numFmtId="0">
      <sharedItems containsSemiMixedTypes="0" containsString="0" containsNumber="1" containsInteger="1" minValue="2019" maxValue="2021" count="3">
        <n v="2019"/>
        <n v="2020"/>
        <n v="2021"/>
      </sharedItems>
    </cacheField>
    <cacheField name="Modalidade de Ensino" numFmtId="0">
      <sharedItems/>
    </cacheField>
    <cacheField name="Inscritos" numFmtId="0">
      <sharedItems containsSemiMixedTypes="0" containsString="0" containsNumber="1" containsInteger="1" minValue="22" maxValue="277" count="16">
        <n v="42"/>
        <n v="137"/>
        <n v="22"/>
        <n v="27"/>
        <n v="98"/>
        <n v="97"/>
        <n v="277"/>
        <n v="60"/>
        <n v="74"/>
        <n v="71"/>
        <n v="127"/>
        <n v="126"/>
        <n v="176"/>
        <n v="28"/>
        <n v="40"/>
        <n v="34"/>
      </sharedItems>
    </cacheField>
    <cacheField name="Matriculados" numFmtId="0">
      <sharedItems containsSemiMixedTypes="0" containsString="0" containsNumber="1" containsInteger="1" minValue="17" maxValue="277" count="16">
        <n v="17"/>
        <n v="137"/>
        <n v="22"/>
        <n v="27"/>
        <n v="98"/>
        <n v="97"/>
        <n v="277"/>
        <n v="60"/>
        <n v="74"/>
        <n v="71"/>
        <n v="127"/>
        <n v="126"/>
        <n v="176"/>
        <n v="28"/>
        <n v="40"/>
        <n v="34"/>
      </sharedItems>
    </cacheField>
    <cacheField name="Aprovados" numFmtId="0">
      <sharedItems containsSemiMixedTypes="0" containsString="0" containsNumber="1" containsInteger="1" minValue="9" maxValue="190" count="16">
        <n v="16"/>
        <n v="99"/>
        <n v="9"/>
        <n v="25"/>
        <n v="57"/>
        <n v="72"/>
        <n v="190"/>
        <n v="29"/>
        <n v="61"/>
        <n v="53"/>
        <n v="96"/>
        <n v="87"/>
        <n v="106"/>
        <n v="27"/>
        <n v="12"/>
        <n v="22"/>
      </sharedItems>
    </cacheField>
    <cacheField name="% Aprovação" numFmtId="2">
      <sharedItems containsSemiMixedTypes="0" containsString="0" containsNumber="1" minValue="30" maxValue="96.428571428571431"/>
    </cacheField>
    <cacheField name="Reprovados" numFmtId="0">
      <sharedItems containsSemiMixedTypes="0" containsString="0" containsNumber="1" containsInteger="1" minValue="0" maxValue="10" count="8">
        <n v="1"/>
        <n v="10"/>
        <n v="2"/>
        <n v="0"/>
        <n v="8"/>
        <n v="7"/>
        <n v="3"/>
        <n v="4"/>
      </sharedItems>
    </cacheField>
    <cacheField name="Desistentes" numFmtId="0">
      <sharedItems containsSemiMixedTypes="0" containsString="0" containsNumber="1" containsInteger="1" minValue="0" maxValue="69" count="9">
        <n v="0"/>
        <n v="1"/>
        <n v="6"/>
        <n v="5"/>
        <n v="2"/>
        <n v="8"/>
        <n v="7"/>
        <n v="4"/>
        <n v="69"/>
      </sharedItems>
    </cacheField>
    <cacheField name="Não responderam o 1º questionário" numFmtId="0">
      <sharedItems containsSemiMixedTypes="0" containsString="0" containsNumber="1" containsInteger="1" minValue="0" maxValue="14" count="9">
        <n v="0"/>
        <n v="1"/>
        <n v="3"/>
        <n v="14"/>
        <n v="4"/>
        <n v="11"/>
        <n v="2"/>
        <n v="5"/>
        <n v="9"/>
      </sharedItems>
    </cacheField>
    <cacheField name="Nunca acessaram o curso" numFmtId="0">
      <sharedItems containsSemiMixedTypes="0" containsString="0" containsNumber="1" containsInteger="1" minValue="0" maxValue="61" count="11">
        <n v="0"/>
        <n v="26"/>
        <n v="2"/>
        <n v="21"/>
        <n v="11"/>
        <n v="61"/>
        <n v="28"/>
        <n v="6"/>
        <n v="8"/>
        <n v="20"/>
        <n v="22"/>
      </sharedItems>
    </cacheField>
  </cacheFields>
  <extLst>
    <ext xmlns:x14="http://schemas.microsoft.com/office/spreadsheetml/2009/9/main" uri="{725AE2AE-9491-48be-B2B4-4EB974FC3084}">
      <x14:pivotCacheDefinition pivotCacheId="2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">
  <r>
    <x v="0"/>
    <x v="0"/>
    <x v="0"/>
    <s v="A Distância"/>
    <x v="0"/>
    <x v="0"/>
    <x v="0"/>
    <n v="94.117647058823536"/>
    <x v="0"/>
    <x v="0"/>
    <x v="0"/>
    <x v="0"/>
  </r>
  <r>
    <x v="1"/>
    <x v="1"/>
    <x v="0"/>
    <s v="A Distância"/>
    <x v="1"/>
    <x v="1"/>
    <x v="1"/>
    <n v="72.262773722627742"/>
    <x v="1"/>
    <x v="1"/>
    <x v="1"/>
    <x v="1"/>
  </r>
  <r>
    <x v="2"/>
    <x v="2"/>
    <x v="0"/>
    <s v="A Distância"/>
    <x v="2"/>
    <x v="2"/>
    <x v="2"/>
    <n v="40.909090909090907"/>
    <x v="2"/>
    <x v="2"/>
    <x v="2"/>
    <x v="2"/>
  </r>
  <r>
    <x v="2"/>
    <x v="3"/>
    <x v="0"/>
    <s v="A Distância"/>
    <x v="3"/>
    <x v="3"/>
    <x v="3"/>
    <n v="92.592592592592595"/>
    <x v="3"/>
    <x v="0"/>
    <x v="0"/>
    <x v="2"/>
  </r>
  <r>
    <x v="2"/>
    <x v="4"/>
    <x v="0"/>
    <s v="A Distância"/>
    <x v="4"/>
    <x v="4"/>
    <x v="4"/>
    <n v="58.163265306122447"/>
    <x v="0"/>
    <x v="3"/>
    <x v="3"/>
    <x v="3"/>
  </r>
  <r>
    <x v="3"/>
    <x v="5"/>
    <x v="0"/>
    <s v="A Distância"/>
    <x v="5"/>
    <x v="5"/>
    <x v="5"/>
    <n v="74.226804123711347"/>
    <x v="4"/>
    <x v="4"/>
    <x v="4"/>
    <x v="4"/>
  </r>
  <r>
    <x v="3"/>
    <x v="6"/>
    <x v="0"/>
    <s v="A Distância"/>
    <x v="6"/>
    <x v="6"/>
    <x v="6"/>
    <n v="68.592057761732846"/>
    <x v="5"/>
    <x v="5"/>
    <x v="5"/>
    <x v="5"/>
  </r>
  <r>
    <x v="2"/>
    <x v="7"/>
    <x v="1"/>
    <s v="A Distância"/>
    <x v="7"/>
    <x v="7"/>
    <x v="7"/>
    <n v="48.333333333333336"/>
    <x v="0"/>
    <x v="0"/>
    <x v="6"/>
    <x v="6"/>
  </r>
  <r>
    <x v="4"/>
    <x v="8"/>
    <x v="1"/>
    <s v="A Distância"/>
    <x v="8"/>
    <x v="8"/>
    <x v="8"/>
    <n v="82.432432432432435"/>
    <x v="2"/>
    <x v="0"/>
    <x v="7"/>
    <x v="7"/>
  </r>
  <r>
    <x v="5"/>
    <x v="9"/>
    <x v="1"/>
    <s v="A Distância"/>
    <x v="9"/>
    <x v="9"/>
    <x v="9"/>
    <n v="74.647887323943664"/>
    <x v="6"/>
    <x v="4"/>
    <x v="7"/>
    <x v="8"/>
  </r>
  <r>
    <x v="2"/>
    <x v="10"/>
    <x v="1"/>
    <s v="A Distância"/>
    <x v="10"/>
    <x v="10"/>
    <x v="10"/>
    <n v="75.590551181102356"/>
    <x v="0"/>
    <x v="6"/>
    <x v="2"/>
    <x v="9"/>
  </r>
  <r>
    <x v="1"/>
    <x v="11"/>
    <x v="2"/>
    <s v="A Distância"/>
    <x v="11"/>
    <x v="11"/>
    <x v="11"/>
    <n v="69.047619047619051"/>
    <x v="7"/>
    <x v="7"/>
    <x v="8"/>
    <x v="10"/>
  </r>
  <r>
    <x v="6"/>
    <x v="12"/>
    <x v="2"/>
    <s v="A Distância"/>
    <x v="12"/>
    <x v="12"/>
    <x v="12"/>
    <n v="60.227272727272727"/>
    <x v="0"/>
    <x v="8"/>
    <x v="0"/>
    <x v="0"/>
  </r>
  <r>
    <x v="2"/>
    <x v="13"/>
    <x v="2"/>
    <s v="A Distância"/>
    <x v="13"/>
    <x v="13"/>
    <x v="13"/>
    <n v="96.428571428571431"/>
    <x v="0"/>
    <x v="0"/>
    <x v="0"/>
    <x v="0"/>
  </r>
  <r>
    <x v="1"/>
    <x v="14"/>
    <x v="2"/>
    <s v="A Distância"/>
    <x v="14"/>
    <x v="14"/>
    <x v="14"/>
    <n v="30"/>
    <x v="7"/>
    <x v="4"/>
    <x v="0"/>
    <x v="10"/>
  </r>
  <r>
    <x v="6"/>
    <x v="15"/>
    <x v="2"/>
    <s v="A Distância"/>
    <x v="15"/>
    <x v="15"/>
    <x v="15"/>
    <n v="64.705882352941174"/>
    <x v="0"/>
    <x v="0"/>
    <x v="5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10" dataOnRows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5">
  <location ref="H3:L35" firstHeaderRow="1" firstDataRow="2" firstDataCol="1"/>
  <pivotFields count="12">
    <pivotField axis="axisRow" showAll="0">
      <items count="8">
        <item x="6"/>
        <item x="3"/>
        <item x="0"/>
        <item x="4"/>
        <item x="5"/>
        <item x="1"/>
        <item x="2"/>
        <item t="default"/>
      </items>
    </pivotField>
    <pivotField showAll="0"/>
    <pivotField axis="axisCol" showAll="0">
      <items count="4">
        <item x="0"/>
        <item x="1"/>
        <item x="2"/>
        <item t="default"/>
      </items>
    </pivotField>
    <pivotField showAll="0"/>
    <pivotField showAll="0">
      <items count="17">
        <item x="2"/>
        <item x="3"/>
        <item x="13"/>
        <item x="15"/>
        <item x="14"/>
        <item x="0"/>
        <item x="7"/>
        <item x="9"/>
        <item x="8"/>
        <item x="5"/>
        <item x="4"/>
        <item x="11"/>
        <item x="10"/>
        <item x="1"/>
        <item x="12"/>
        <item x="6"/>
        <item t="default"/>
      </items>
    </pivotField>
    <pivotField dataField="1" showAll="0">
      <items count="17">
        <item x="0"/>
        <item x="2"/>
        <item x="3"/>
        <item x="13"/>
        <item x="15"/>
        <item x="14"/>
        <item x="7"/>
        <item x="9"/>
        <item x="8"/>
        <item x="5"/>
        <item x="4"/>
        <item x="11"/>
        <item x="10"/>
        <item x="1"/>
        <item x="12"/>
        <item x="6"/>
        <item t="default"/>
      </items>
    </pivotField>
    <pivotField dataField="1" showAll="0">
      <items count="17">
        <item x="2"/>
        <item x="14"/>
        <item x="0"/>
        <item x="15"/>
        <item x="3"/>
        <item x="13"/>
        <item x="7"/>
        <item x="9"/>
        <item x="4"/>
        <item x="8"/>
        <item x="5"/>
        <item x="11"/>
        <item x="10"/>
        <item x="1"/>
        <item x="12"/>
        <item x="6"/>
        <item t="default"/>
      </items>
    </pivotField>
    <pivotField numFmtId="2" showAll="0"/>
    <pivotField dataField="1" showAll="0">
      <items count="9">
        <item x="3"/>
        <item x="0"/>
        <item x="2"/>
        <item x="6"/>
        <item x="7"/>
        <item x="5"/>
        <item x="4"/>
        <item x="1"/>
        <item t="default"/>
      </items>
    </pivotField>
    <pivotField showAll="0">
      <items count="10">
        <item x="0"/>
        <item x="1"/>
        <item x="4"/>
        <item x="7"/>
        <item x="3"/>
        <item x="2"/>
        <item x="6"/>
        <item x="5"/>
        <item x="8"/>
        <item t="default"/>
      </items>
    </pivotField>
    <pivotField showAll="0">
      <items count="10">
        <item x="0"/>
        <item x="1"/>
        <item x="6"/>
        <item x="2"/>
        <item x="4"/>
        <item x="7"/>
        <item x="8"/>
        <item x="5"/>
        <item x="3"/>
        <item t="default"/>
      </items>
    </pivotField>
    <pivotField showAll="0">
      <items count="12">
        <item x="0"/>
        <item x="2"/>
        <item x="7"/>
        <item x="8"/>
        <item x="4"/>
        <item x="9"/>
        <item x="3"/>
        <item x="10"/>
        <item x="1"/>
        <item x="6"/>
        <item x="5"/>
        <item t="default"/>
      </items>
    </pivotField>
  </pivotFields>
  <rowFields count="2">
    <field x="0"/>
    <field x="-2"/>
  </rowFields>
  <rowItems count="31">
    <i>
      <x/>
    </i>
    <i r="1">
      <x/>
    </i>
    <i r="1" i="1">
      <x v="1"/>
    </i>
    <i r="1" i="2">
      <x v="2"/>
    </i>
    <i>
      <x v="1"/>
    </i>
    <i r="1">
      <x/>
    </i>
    <i r="1" i="1">
      <x v="1"/>
    </i>
    <i r="1" i="2">
      <x v="2"/>
    </i>
    <i>
      <x v="2"/>
    </i>
    <i r="1">
      <x/>
    </i>
    <i r="1" i="1">
      <x v="1"/>
    </i>
    <i r="1" i="2">
      <x v="2"/>
    </i>
    <i>
      <x v="3"/>
    </i>
    <i r="1">
      <x/>
    </i>
    <i r="1" i="1">
      <x v="1"/>
    </i>
    <i r="1" i="2">
      <x v="2"/>
    </i>
    <i>
      <x v="4"/>
    </i>
    <i r="1">
      <x/>
    </i>
    <i r="1" i="1">
      <x v="1"/>
    </i>
    <i r="1" i="2">
      <x v="2"/>
    </i>
    <i>
      <x v="5"/>
    </i>
    <i r="1">
      <x/>
    </i>
    <i r="1" i="1">
      <x v="1"/>
    </i>
    <i r="1" i="2">
      <x v="2"/>
    </i>
    <i>
      <x v="6"/>
    </i>
    <i r="1">
      <x/>
    </i>
    <i r="1" i="1">
      <x v="1"/>
    </i>
    <i r="1" i="2">
      <x v="2"/>
    </i>
    <i t="grand">
      <x/>
    </i>
    <i t="grand" i="1">
      <x/>
    </i>
    <i t="grand" i="2">
      <x/>
    </i>
  </rowItems>
  <colFields count="1">
    <field x="2"/>
  </colFields>
  <colItems count="4">
    <i>
      <x/>
    </i>
    <i>
      <x v="1"/>
    </i>
    <i>
      <x v="2"/>
    </i>
    <i t="grand">
      <x/>
    </i>
  </colItems>
  <dataFields count="3">
    <dataField name="Soma de Matriculados" fld="5" baseField="0" baseItem="0"/>
    <dataField name="Soma de Aprovados" fld="6" baseField="0" baseItem="0"/>
    <dataField name="Soma de Reprovados" fld="8" baseField="0" baseItem="0"/>
  </dataFields>
  <chartFormats count="5">
    <chartFormat chart="4" format="8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8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" format="86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4" format="8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4" format="9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ela dinâmica1" cacheId="1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4">
  <location ref="A5:E14" firstHeaderRow="1" firstDataRow="2" firstDataCol="1"/>
  <pivotFields count="12">
    <pivotField axis="axisRow" showAll="0">
      <items count="8">
        <item x="6"/>
        <item x="3"/>
        <item x="0"/>
        <item x="4"/>
        <item x="5"/>
        <item x="1"/>
        <item x="2"/>
        <item t="default"/>
      </items>
    </pivotField>
    <pivotField dataField="1" showAll="0"/>
    <pivotField axis="axisCol" showAll="0">
      <items count="4">
        <item x="0"/>
        <item x="1"/>
        <item x="2"/>
        <item t="default"/>
      </items>
    </pivotField>
    <pivotField showAll="0"/>
    <pivotField showAll="0">
      <items count="17">
        <item x="2"/>
        <item x="3"/>
        <item x="13"/>
        <item x="15"/>
        <item x="14"/>
        <item x="0"/>
        <item x="7"/>
        <item x="9"/>
        <item x="8"/>
        <item x="5"/>
        <item x="4"/>
        <item x="11"/>
        <item x="10"/>
        <item x="1"/>
        <item x="12"/>
        <item x="6"/>
        <item t="default"/>
      </items>
    </pivotField>
    <pivotField showAll="0"/>
    <pivotField showAll="0"/>
    <pivotField numFmtId="2" showAll="0"/>
    <pivotField showAll="0"/>
    <pivotField showAll="0"/>
    <pivotField showAll="0"/>
    <pivotField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2"/>
  </colFields>
  <colItems count="4">
    <i>
      <x/>
    </i>
    <i>
      <x v="1"/>
    </i>
    <i>
      <x v="2"/>
    </i>
    <i t="grand">
      <x/>
    </i>
  </colItems>
  <dataFields count="1">
    <dataField name="Contagem de Curso" fld="1" subtotal="count" baseField="0" baseItem="0"/>
  </dataFields>
  <chartFormats count="4">
    <chartFormat chart="3" format="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3" format="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3" format="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3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ela dinâmica3" cacheId="1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3">
  <location ref="A23:E32" firstHeaderRow="1" firstDataRow="2" firstDataCol="1"/>
  <pivotFields count="12">
    <pivotField axis="axisRow" showAll="0">
      <items count="8">
        <item x="6"/>
        <item x="3"/>
        <item x="0"/>
        <item x="4"/>
        <item x="5"/>
        <item x="1"/>
        <item x="2"/>
        <item t="default"/>
      </items>
    </pivotField>
    <pivotField showAll="0">
      <items count="17">
        <item x="5"/>
        <item x="6"/>
        <item x="1"/>
        <item x="11"/>
        <item x="14"/>
        <item x="8"/>
        <item x="0"/>
        <item x="12"/>
        <item x="15"/>
        <item x="9"/>
        <item x="2"/>
        <item x="3"/>
        <item x="7"/>
        <item x="4"/>
        <item x="10"/>
        <item x="13"/>
        <item t="default"/>
      </items>
    </pivotField>
    <pivotField axis="axisCol" showAll="0">
      <items count="4">
        <item x="0"/>
        <item x="1"/>
        <item x="2"/>
        <item t="default"/>
      </items>
    </pivotField>
    <pivotField showAll="0"/>
    <pivotField dataField="1" showAll="0">
      <items count="17">
        <item x="2"/>
        <item x="3"/>
        <item x="13"/>
        <item x="15"/>
        <item x="14"/>
        <item x="0"/>
        <item x="7"/>
        <item x="9"/>
        <item x="8"/>
        <item x="5"/>
        <item x="4"/>
        <item x="11"/>
        <item x="10"/>
        <item x="1"/>
        <item x="12"/>
        <item x="6"/>
        <item t="default"/>
      </items>
    </pivotField>
    <pivotField showAll="0"/>
    <pivotField showAll="0"/>
    <pivotField numFmtId="2" showAll="0"/>
    <pivotField showAll="0"/>
    <pivotField showAll="0"/>
    <pivotField showAll="0"/>
    <pivotField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2"/>
  </colFields>
  <colItems count="4">
    <i>
      <x/>
    </i>
    <i>
      <x v="1"/>
    </i>
    <i>
      <x v="2"/>
    </i>
    <i t="grand">
      <x/>
    </i>
  </colItems>
  <dataFields count="1">
    <dataField name="Soma de Inscritos" fld="4" baseField="0" baseItem="0"/>
  </dataFields>
  <chartFormats count="4">
    <chartFormat chart="2" format="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2" format="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2" format="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2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çãodeDados_Nome" sourceName="Nome">
  <pivotTables>
    <pivotTable tabId="12" name="Tabela dinâmica1"/>
    <pivotTable tabId="12" name="Tabela dinâmica3"/>
    <pivotTable tabId="12" name="Tabela dinâmica2"/>
  </pivotTables>
  <data>
    <tabular pivotCacheId="2">
      <items count="7">
        <i x="6" s="1"/>
        <i x="3" s="1"/>
        <i x="0" s="1"/>
        <i x="4" s="1"/>
        <i x="5" s="1"/>
        <i x="1" s="1"/>
        <i x="2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çãodeDados_Ano" sourceName="Ano">
  <pivotTables>
    <pivotTable tabId="12" name="Tabela dinâmica1"/>
    <pivotTable tabId="12" name="Tabela dinâmica3"/>
    <pivotTable tabId="12" name="Tabela dinâmica2"/>
  </pivotTables>
  <data>
    <tabular pivotCacheId="2">
      <items count="3">
        <i x="0" s="1"/>
        <i x="1" s="1"/>
        <i x="2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Nome" cache="SegmentaçãodeDados_Nome" caption="Nome" rowHeight="241300"/>
  <slicer name="Ano" cache="SegmentaçãodeDados_Ano" caption="Ano" rowHeight="241300"/>
</slicers>
</file>

<file path=xl/tables/table1.xml><?xml version="1.0" encoding="utf-8"?>
<table xmlns="http://schemas.openxmlformats.org/spreadsheetml/2006/main" id="2" name="Tabela2" displayName="Tabela2" ref="A2:M23" totalsRowShown="0" headerRowDxfId="35" dataDxfId="34" headerRowCellStyle="Normal" dataCellStyle="Normal">
  <autoFilter ref="A2:M23"/>
  <sortState ref="A3:W50">
    <sortCondition ref="A2:A50"/>
  </sortState>
  <tableColumns count="13">
    <tableColumn id="5" name="QT" dataDxfId="33"/>
    <tableColumn id="1" name="Curso" dataDxfId="32" dataCellStyle="Normal"/>
    <tableColumn id="27" name="Ano" dataDxfId="31" dataCellStyle="Normal"/>
    <tableColumn id="2" name="Doc" dataDxfId="30" dataCellStyle="Normal"/>
    <tableColumn id="4" name="Publicação Boletim" dataDxfId="29" dataCellStyle="Normal"/>
    <tableColumn id="6" name="Doc2" dataDxfId="28" dataCellStyle="Normal"/>
    <tableColumn id="8" name="Publicação Boletim 2" dataDxfId="27" dataCellStyle="Normal"/>
    <tableColumn id="10" name="Doc3" dataDxfId="26" dataCellStyle="Normal"/>
    <tableColumn id="12" name="Publicação Boletim 3" dataDxfId="25" dataCellStyle="Normal"/>
    <tableColumn id="14" name="Doc4" dataDxfId="24" dataCellStyle="Normal"/>
    <tableColumn id="16" name="Publicação Boletim 4" dataDxfId="23" dataCellStyle="Normal"/>
    <tableColumn id="7" name="Doc42" dataDxfId="22"/>
    <tableColumn id="18" name="       Descrição" dataDxfId="21" dataCellStyle="Normal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3" name="Tabela3" displayName="Tabela3" ref="A2:M18" totalsRowShown="0" headerRowDxfId="20" dataDxfId="19" headerRowCellStyle="Normal" dataCellStyle="Normal">
  <autoFilter ref="A2:M18"/>
  <sortState ref="A3:M30">
    <sortCondition ref="A2:A30"/>
  </sortState>
  <tableColumns count="13">
    <tableColumn id="13" name="QT" dataDxfId="18"/>
    <tableColumn id="1" name="Nome" dataDxfId="17" dataCellStyle="Normal"/>
    <tableColumn id="10" name="Curso" dataDxfId="16">
      <calculatedColumnFormula>'Controle adm. dos cursos'!B3</calculatedColumnFormula>
    </tableColumn>
    <tableColumn id="2" name="Ano" dataDxfId="15" dataCellStyle="Normal">
      <calculatedColumnFormula>'Controle adm. dos cursos'!C3</calculatedColumnFormula>
    </tableColumn>
    <tableColumn id="11" name="Modalidade de Ensino" dataDxfId="14"/>
    <tableColumn id="3" name="Inscritos" dataDxfId="13" dataCellStyle="Normal"/>
    <tableColumn id="4" name="Matriculados" dataDxfId="12" dataCellStyle="Normal"/>
    <tableColumn id="5" name="Aprovados" dataDxfId="11" dataCellStyle="Normal"/>
    <tableColumn id="12" name="% Aprovação" dataDxfId="10">
      <calculatedColumnFormula>IFERROR((Tabela3[[#This Row],[Aprovados]]*100)/Tabela3[[#This Row],[Matriculados]],0)</calculatedColumnFormula>
    </tableColumn>
    <tableColumn id="6" name="Reprovados" dataDxfId="9" dataCellStyle="Normal"/>
    <tableColumn id="7" name="Desistentes" dataDxfId="8" dataCellStyle="Normal"/>
    <tableColumn id="9" name="Não responderam o 1º questionário" dataDxfId="7"/>
    <tableColumn id="8" name="Nunca acessaram o curso" dataDxfId="6" dataCellStyle="Normal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showGridLines="0" zoomScale="85" zoomScaleNormal="85" workbookViewId="0">
      <pane xSplit="3" ySplit="2" topLeftCell="D12" activePane="bottomRight" state="frozen"/>
      <selection pane="topRight" activeCell="C1" sqref="C1"/>
      <selection pane="bottomLeft" activeCell="A3" sqref="A3"/>
      <selection pane="bottomRight" activeCell="D20" sqref="D20"/>
    </sheetView>
  </sheetViews>
  <sheetFormatPr defaultColWidth="72" defaultRowHeight="15" x14ac:dyDescent="0.25"/>
  <cols>
    <col min="1" max="1" width="10" style="30" bestFit="1" customWidth="1"/>
    <col min="2" max="2" width="65.85546875" style="31" customWidth="1"/>
    <col min="3" max="3" width="11.5703125" style="30" customWidth="1"/>
    <col min="4" max="11" width="20.7109375" style="30" customWidth="1"/>
    <col min="12" max="12" width="26" style="30" bestFit="1" customWidth="1"/>
    <col min="13" max="13" width="206" style="31" customWidth="1"/>
    <col min="14" max="16384" width="72" style="30"/>
  </cols>
  <sheetData>
    <row r="1" spans="1:14" s="23" customFormat="1" ht="51.75" customHeight="1" x14ac:dyDescent="0.25">
      <c r="A1" s="20"/>
      <c r="B1" s="106" t="s">
        <v>103</v>
      </c>
      <c r="C1" s="22"/>
      <c r="D1" s="110" t="s">
        <v>1</v>
      </c>
      <c r="E1" s="110"/>
      <c r="F1" s="110" t="s">
        <v>2</v>
      </c>
      <c r="G1" s="110"/>
      <c r="H1" s="110" t="s">
        <v>3</v>
      </c>
      <c r="I1" s="110"/>
      <c r="J1" s="110" t="s">
        <v>4</v>
      </c>
      <c r="K1" s="110"/>
      <c r="L1" s="83" t="s">
        <v>72</v>
      </c>
      <c r="M1" s="21" t="s">
        <v>52</v>
      </c>
      <c r="N1" s="82" t="s">
        <v>69</v>
      </c>
    </row>
    <row r="2" spans="1:14" s="27" customFormat="1" ht="30" customHeight="1" x14ac:dyDescent="0.25">
      <c r="A2" s="24" t="s">
        <v>13</v>
      </c>
      <c r="B2" s="25" t="s">
        <v>0</v>
      </c>
      <c r="C2" s="26" t="s">
        <v>5</v>
      </c>
      <c r="D2" s="26" t="s">
        <v>31</v>
      </c>
      <c r="E2" s="26" t="s">
        <v>7</v>
      </c>
      <c r="F2" s="26" t="s">
        <v>32</v>
      </c>
      <c r="G2" s="26" t="s">
        <v>8</v>
      </c>
      <c r="H2" s="26" t="s">
        <v>33</v>
      </c>
      <c r="I2" s="26" t="s">
        <v>9</v>
      </c>
      <c r="J2" s="26" t="s">
        <v>30</v>
      </c>
      <c r="K2" s="26" t="s">
        <v>10</v>
      </c>
      <c r="L2" s="26" t="s">
        <v>71</v>
      </c>
      <c r="M2" s="80" t="s">
        <v>53</v>
      </c>
    </row>
    <row r="3" spans="1:14" s="29" customFormat="1" ht="45" customHeight="1" x14ac:dyDescent="0.25">
      <c r="A3" s="28">
        <v>1</v>
      </c>
      <c r="B3" s="10" t="s">
        <v>38</v>
      </c>
      <c r="C3" s="28">
        <v>2019</v>
      </c>
      <c r="D3" s="28" t="s">
        <v>56</v>
      </c>
      <c r="E3" s="28" t="s">
        <v>56</v>
      </c>
      <c r="F3" s="28" t="s">
        <v>56</v>
      </c>
      <c r="G3" s="28" t="s">
        <v>56</v>
      </c>
      <c r="H3" s="28" t="s">
        <v>56</v>
      </c>
      <c r="I3" s="28" t="s">
        <v>56</v>
      </c>
      <c r="J3" s="28" t="s">
        <v>56</v>
      </c>
      <c r="K3" s="28" t="s">
        <v>56</v>
      </c>
      <c r="L3" s="28" t="s">
        <v>56</v>
      </c>
      <c r="M3" s="10"/>
    </row>
    <row r="4" spans="1:14" s="29" customFormat="1" ht="45" customHeight="1" x14ac:dyDescent="0.25">
      <c r="A4" s="28">
        <v>2</v>
      </c>
      <c r="B4" s="10" t="s">
        <v>40</v>
      </c>
      <c r="C4" s="28">
        <v>2019</v>
      </c>
      <c r="D4" s="28" t="s">
        <v>56</v>
      </c>
      <c r="E4" s="28" t="s">
        <v>56</v>
      </c>
      <c r="F4" s="4" t="s">
        <v>62</v>
      </c>
      <c r="G4" s="4" t="s">
        <v>62</v>
      </c>
      <c r="H4" s="28" t="s">
        <v>49</v>
      </c>
      <c r="I4" s="28" t="s">
        <v>50</v>
      </c>
      <c r="J4" s="28" t="s">
        <v>46</v>
      </c>
      <c r="K4" s="28" t="s">
        <v>61</v>
      </c>
      <c r="L4" s="28" t="s">
        <v>56</v>
      </c>
      <c r="M4" s="10" t="s">
        <v>63</v>
      </c>
    </row>
    <row r="5" spans="1:14" ht="45" customHeight="1" x14ac:dyDescent="0.25">
      <c r="A5" s="28">
        <v>3</v>
      </c>
      <c r="B5" s="3" t="s">
        <v>6</v>
      </c>
      <c r="C5" s="28">
        <v>2019</v>
      </c>
      <c r="D5" s="28" t="s">
        <v>56</v>
      </c>
      <c r="E5" s="28" t="s">
        <v>56</v>
      </c>
      <c r="F5" s="28" t="s">
        <v>44</v>
      </c>
      <c r="G5" s="28" t="s">
        <v>47</v>
      </c>
      <c r="H5" s="28" t="s">
        <v>60</v>
      </c>
      <c r="I5" s="28" t="s">
        <v>61</v>
      </c>
      <c r="J5" s="28" t="s">
        <v>60</v>
      </c>
      <c r="K5" s="28" t="s">
        <v>61</v>
      </c>
      <c r="L5" s="28" t="s">
        <v>56</v>
      </c>
      <c r="M5" s="10"/>
    </row>
    <row r="6" spans="1:14" ht="43.5" customHeight="1" x14ac:dyDescent="0.25">
      <c r="A6" s="28">
        <v>4</v>
      </c>
      <c r="B6" s="3" t="s">
        <v>48</v>
      </c>
      <c r="C6" s="28">
        <v>2019</v>
      </c>
      <c r="D6" s="28" t="s">
        <v>56</v>
      </c>
      <c r="E6" s="28" t="s">
        <v>56</v>
      </c>
      <c r="F6" s="28" t="s">
        <v>51</v>
      </c>
      <c r="G6" s="28" t="s">
        <v>56</v>
      </c>
      <c r="H6" s="28" t="s">
        <v>57</v>
      </c>
      <c r="I6" s="28" t="s">
        <v>58</v>
      </c>
      <c r="J6" s="28" t="s">
        <v>57</v>
      </c>
      <c r="K6" s="28" t="s">
        <v>58</v>
      </c>
      <c r="L6" s="28" t="s">
        <v>56</v>
      </c>
      <c r="M6" s="10"/>
    </row>
    <row r="7" spans="1:14" ht="43.5" customHeight="1" x14ac:dyDescent="0.25">
      <c r="A7" s="28">
        <v>5</v>
      </c>
      <c r="B7" s="3" t="s">
        <v>54</v>
      </c>
      <c r="C7" s="28">
        <v>2019</v>
      </c>
      <c r="D7" s="28" t="s">
        <v>56</v>
      </c>
      <c r="E7" s="28" t="s">
        <v>56</v>
      </c>
      <c r="F7" s="28"/>
      <c r="G7" s="28" t="s">
        <v>56</v>
      </c>
      <c r="H7" s="28" t="s">
        <v>55</v>
      </c>
      <c r="I7" s="81" t="s">
        <v>59</v>
      </c>
      <c r="J7" s="28" t="s">
        <v>55</v>
      </c>
      <c r="K7" s="28" t="s">
        <v>59</v>
      </c>
      <c r="L7" s="28" t="s">
        <v>56</v>
      </c>
      <c r="M7" s="10"/>
    </row>
    <row r="8" spans="1:14" ht="43.5" customHeight="1" x14ac:dyDescent="0.25">
      <c r="A8" s="28">
        <v>6</v>
      </c>
      <c r="B8" s="10" t="s">
        <v>65</v>
      </c>
      <c r="C8" s="28">
        <v>2019</v>
      </c>
      <c r="D8" s="28" t="s">
        <v>56</v>
      </c>
      <c r="E8" s="28" t="s">
        <v>56</v>
      </c>
      <c r="F8" s="28"/>
      <c r="G8" s="28"/>
      <c r="H8" s="28" t="s">
        <v>70</v>
      </c>
      <c r="I8" s="28" t="s">
        <v>56</v>
      </c>
      <c r="J8" s="28" t="s">
        <v>70</v>
      </c>
      <c r="K8" s="28" t="s">
        <v>56</v>
      </c>
      <c r="L8" s="28" t="s">
        <v>75</v>
      </c>
      <c r="M8" s="10"/>
    </row>
    <row r="9" spans="1:14" ht="43.5" customHeight="1" x14ac:dyDescent="0.25">
      <c r="A9" s="28">
        <v>7</v>
      </c>
      <c r="B9" s="10" t="s">
        <v>66</v>
      </c>
      <c r="C9" s="28">
        <v>2019</v>
      </c>
      <c r="D9" s="28" t="s">
        <v>56</v>
      </c>
      <c r="E9" s="28" t="s">
        <v>56</v>
      </c>
      <c r="F9" s="28"/>
      <c r="G9" s="28"/>
      <c r="H9" s="28" t="s">
        <v>73</v>
      </c>
      <c r="I9" s="28" t="s">
        <v>76</v>
      </c>
      <c r="J9" s="28" t="s">
        <v>73</v>
      </c>
      <c r="K9" s="28" t="s">
        <v>76</v>
      </c>
      <c r="L9" s="28" t="s">
        <v>74</v>
      </c>
      <c r="M9" s="10"/>
    </row>
    <row r="10" spans="1:14" ht="43.5" customHeight="1" x14ac:dyDescent="0.25">
      <c r="A10" s="28">
        <v>8</v>
      </c>
      <c r="B10" s="10" t="s">
        <v>78</v>
      </c>
      <c r="C10" s="28">
        <v>2020</v>
      </c>
      <c r="D10" s="28" t="s">
        <v>56</v>
      </c>
      <c r="E10" s="28" t="s">
        <v>56</v>
      </c>
      <c r="F10" s="28"/>
      <c r="G10" s="28"/>
      <c r="H10" s="28" t="s">
        <v>79</v>
      </c>
      <c r="I10" s="28"/>
      <c r="J10" s="28" t="s">
        <v>79</v>
      </c>
      <c r="K10" s="28"/>
      <c r="L10" s="28"/>
      <c r="M10" s="10"/>
    </row>
    <row r="11" spans="1:14" ht="43.5" customHeight="1" x14ac:dyDescent="0.25">
      <c r="A11" s="28">
        <v>9</v>
      </c>
      <c r="B11" s="10" t="s">
        <v>80</v>
      </c>
      <c r="C11" s="28">
        <v>2020</v>
      </c>
      <c r="D11" s="28" t="s">
        <v>56</v>
      </c>
      <c r="E11" s="28" t="s">
        <v>56</v>
      </c>
      <c r="F11" s="28" t="s">
        <v>56</v>
      </c>
      <c r="G11" s="28" t="s">
        <v>56</v>
      </c>
      <c r="H11" s="28" t="s">
        <v>82</v>
      </c>
      <c r="I11" s="28"/>
      <c r="J11" s="28" t="s">
        <v>82</v>
      </c>
      <c r="K11" s="28"/>
      <c r="L11" s="28"/>
      <c r="M11" s="10"/>
    </row>
    <row r="12" spans="1:14" ht="43.5" customHeight="1" x14ac:dyDescent="0.25">
      <c r="A12" s="28">
        <v>10</v>
      </c>
      <c r="B12" s="10" t="s">
        <v>83</v>
      </c>
      <c r="C12" s="28">
        <v>2020</v>
      </c>
      <c r="D12" s="28" t="s">
        <v>56</v>
      </c>
      <c r="E12" s="28" t="s">
        <v>56</v>
      </c>
      <c r="F12" s="28" t="s">
        <v>56</v>
      </c>
      <c r="G12" s="28" t="s">
        <v>56</v>
      </c>
      <c r="H12" s="28" t="s">
        <v>85</v>
      </c>
      <c r="I12" s="28"/>
      <c r="J12" s="28" t="s">
        <v>85</v>
      </c>
      <c r="K12" s="28"/>
      <c r="L12" s="28"/>
      <c r="M12" s="10"/>
    </row>
    <row r="13" spans="1:14" ht="43.5" customHeight="1" x14ac:dyDescent="0.25">
      <c r="A13" s="28">
        <v>11</v>
      </c>
      <c r="B13" s="10" t="s">
        <v>86</v>
      </c>
      <c r="C13" s="28">
        <v>2020</v>
      </c>
      <c r="D13" s="28" t="s">
        <v>56</v>
      </c>
      <c r="E13" s="28" t="s">
        <v>56</v>
      </c>
      <c r="F13" s="28" t="s">
        <v>56</v>
      </c>
      <c r="G13" s="28" t="s">
        <v>56</v>
      </c>
      <c r="H13" s="28" t="s">
        <v>99</v>
      </c>
      <c r="I13" s="28"/>
      <c r="J13" s="28" t="s">
        <v>99</v>
      </c>
      <c r="K13" s="28"/>
      <c r="L13" s="28" t="s">
        <v>99</v>
      </c>
      <c r="M13" s="10"/>
    </row>
    <row r="14" spans="1:14" ht="43.5" customHeight="1" x14ac:dyDescent="0.25">
      <c r="A14" s="28">
        <v>12</v>
      </c>
      <c r="B14" s="10" t="s">
        <v>88</v>
      </c>
      <c r="C14" s="28">
        <v>2021</v>
      </c>
      <c r="D14" s="28" t="s">
        <v>56</v>
      </c>
      <c r="E14" s="28" t="s">
        <v>56</v>
      </c>
      <c r="F14" s="28" t="s">
        <v>56</v>
      </c>
      <c r="G14" s="28" t="s">
        <v>56</v>
      </c>
      <c r="H14" s="28" t="s">
        <v>100</v>
      </c>
      <c r="I14" s="28"/>
      <c r="J14" s="28" t="s">
        <v>100</v>
      </c>
      <c r="K14" s="28"/>
      <c r="L14" s="28"/>
      <c r="M14" s="10"/>
    </row>
    <row r="15" spans="1:14" ht="43.5" customHeight="1" x14ac:dyDescent="0.25">
      <c r="A15" s="28">
        <v>13</v>
      </c>
      <c r="B15" s="10" t="s">
        <v>91</v>
      </c>
      <c r="C15" s="28">
        <v>2021</v>
      </c>
      <c r="D15" s="28" t="s">
        <v>56</v>
      </c>
      <c r="E15" s="28" t="s">
        <v>56</v>
      </c>
      <c r="F15" s="28" t="s">
        <v>56</v>
      </c>
      <c r="G15" s="28" t="s">
        <v>56</v>
      </c>
      <c r="H15" s="28" t="s">
        <v>98</v>
      </c>
      <c r="I15" s="28"/>
      <c r="J15" s="28" t="s">
        <v>98</v>
      </c>
      <c r="K15" s="28"/>
      <c r="L15" s="28"/>
      <c r="M15" s="10"/>
    </row>
    <row r="16" spans="1:14" ht="43.5" customHeight="1" x14ac:dyDescent="0.25">
      <c r="A16" s="28">
        <v>14</v>
      </c>
      <c r="B16" s="10" t="s">
        <v>89</v>
      </c>
      <c r="C16" s="28">
        <v>2021</v>
      </c>
      <c r="D16" s="28" t="s">
        <v>56</v>
      </c>
      <c r="E16" s="28" t="s">
        <v>56</v>
      </c>
      <c r="F16" s="28" t="s">
        <v>56</v>
      </c>
      <c r="G16" s="28" t="s">
        <v>56</v>
      </c>
      <c r="H16" s="28" t="s">
        <v>104</v>
      </c>
      <c r="I16" s="28"/>
      <c r="J16" s="28" t="s">
        <v>104</v>
      </c>
      <c r="K16" s="28"/>
      <c r="L16" s="28" t="s">
        <v>104</v>
      </c>
      <c r="M16" s="10"/>
    </row>
    <row r="17" spans="1:13" ht="43.5" customHeight="1" x14ac:dyDescent="0.25">
      <c r="A17" s="28">
        <v>15</v>
      </c>
      <c r="B17" s="10" t="s">
        <v>90</v>
      </c>
      <c r="C17" s="28">
        <v>2021</v>
      </c>
      <c r="D17" s="28" t="s">
        <v>56</v>
      </c>
      <c r="E17" s="28" t="s">
        <v>56</v>
      </c>
      <c r="F17" s="28" t="s">
        <v>56</v>
      </c>
      <c r="G17" s="28" t="s">
        <v>56</v>
      </c>
      <c r="H17" s="28" t="s">
        <v>100</v>
      </c>
      <c r="I17" s="28"/>
      <c r="J17" s="28" t="s">
        <v>100</v>
      </c>
      <c r="K17" s="28"/>
      <c r="L17" s="28"/>
      <c r="M17" s="10"/>
    </row>
    <row r="18" spans="1:13" ht="43.5" customHeight="1" x14ac:dyDescent="0.25">
      <c r="A18" s="28">
        <v>16</v>
      </c>
      <c r="B18" s="10" t="s">
        <v>101</v>
      </c>
      <c r="C18" s="28">
        <v>2021</v>
      </c>
      <c r="D18" s="28"/>
      <c r="E18" s="28"/>
      <c r="F18" s="28"/>
      <c r="G18" s="28"/>
      <c r="H18" s="28"/>
      <c r="I18" s="28"/>
      <c r="J18" s="28"/>
      <c r="K18" s="28"/>
      <c r="L18" s="28"/>
      <c r="M18" s="10"/>
    </row>
    <row r="19" spans="1:13" ht="43.5" customHeight="1" x14ac:dyDescent="0.25">
      <c r="A19" s="28">
        <v>17</v>
      </c>
      <c r="B19" s="10" t="s">
        <v>102</v>
      </c>
      <c r="C19" s="28">
        <v>2021</v>
      </c>
      <c r="D19" s="28"/>
      <c r="E19" s="28"/>
      <c r="F19" s="28"/>
      <c r="G19" s="28"/>
      <c r="H19" s="28"/>
      <c r="I19" s="28"/>
      <c r="J19" s="28"/>
      <c r="K19" s="28"/>
      <c r="L19" s="28"/>
      <c r="M19" s="10"/>
    </row>
    <row r="20" spans="1:13" ht="43.5" customHeight="1" x14ac:dyDescent="0.25">
      <c r="A20" s="28">
        <v>18</v>
      </c>
      <c r="B20" s="10"/>
      <c r="C20" s="28"/>
      <c r="D20" s="81"/>
      <c r="E20" s="81"/>
      <c r="F20" s="81"/>
      <c r="G20" s="81"/>
      <c r="H20" s="81"/>
      <c r="I20" s="81"/>
      <c r="J20" s="81"/>
      <c r="K20" s="81"/>
      <c r="L20" s="88"/>
      <c r="M20" s="89"/>
    </row>
    <row r="21" spans="1:13" ht="43.5" customHeight="1" x14ac:dyDescent="0.25">
      <c r="A21" s="28">
        <v>19</v>
      </c>
      <c r="B21" s="89"/>
      <c r="C21" s="81"/>
      <c r="D21" s="81"/>
      <c r="E21" s="81"/>
      <c r="F21" s="81"/>
      <c r="G21" s="81"/>
      <c r="H21" s="81"/>
      <c r="I21" s="81"/>
      <c r="J21" s="81"/>
      <c r="K21" s="81"/>
      <c r="L21" s="88"/>
      <c r="M21" s="89"/>
    </row>
    <row r="22" spans="1:13" ht="45" customHeight="1" x14ac:dyDescent="0.25">
      <c r="A22" s="28">
        <v>20</v>
      </c>
      <c r="B22" s="89"/>
      <c r="C22" s="81"/>
      <c r="D22" s="81"/>
      <c r="E22" s="81"/>
      <c r="F22" s="81"/>
      <c r="G22" s="81"/>
      <c r="H22" s="81"/>
      <c r="I22" s="81"/>
      <c r="J22" s="81"/>
      <c r="K22" s="81"/>
      <c r="L22" s="88"/>
      <c r="M22" s="89"/>
    </row>
    <row r="23" spans="1:13" ht="45" customHeight="1" x14ac:dyDescent="0.25">
      <c r="A23" s="28">
        <v>21</v>
      </c>
      <c r="B23" s="89"/>
      <c r="C23" s="81"/>
      <c r="D23" s="81"/>
      <c r="E23" s="81"/>
      <c r="F23" s="81"/>
      <c r="G23" s="81"/>
      <c r="H23" s="81"/>
      <c r="I23" s="81"/>
      <c r="J23" s="81"/>
      <c r="K23" s="81"/>
      <c r="L23" s="88"/>
      <c r="M23" s="89"/>
    </row>
    <row r="24" spans="1:13" ht="45" customHeight="1" x14ac:dyDescent="0.25"/>
    <row r="25" spans="1:13" ht="45" customHeight="1" x14ac:dyDescent="0.25"/>
    <row r="26" spans="1:13" ht="45" customHeight="1" x14ac:dyDescent="0.25"/>
    <row r="27" spans="1:13" ht="45" customHeight="1" x14ac:dyDescent="0.25"/>
    <row r="28" spans="1:13" ht="45" customHeight="1" x14ac:dyDescent="0.25"/>
    <row r="29" spans="1:13" ht="45" customHeight="1" x14ac:dyDescent="0.25"/>
    <row r="30" spans="1:13" ht="45" customHeight="1" x14ac:dyDescent="0.25"/>
    <row r="31" spans="1:13" ht="45" customHeight="1" x14ac:dyDescent="0.25"/>
    <row r="32" spans="1:13" ht="45" customHeight="1" x14ac:dyDescent="0.25"/>
    <row r="33" ht="45" customHeight="1" x14ac:dyDescent="0.25"/>
    <row r="34" ht="45" customHeight="1" x14ac:dyDescent="0.25"/>
    <row r="35" ht="45" customHeight="1" x14ac:dyDescent="0.25"/>
    <row r="36" ht="45" customHeight="1" x14ac:dyDescent="0.25"/>
    <row r="37" ht="45" customHeight="1" x14ac:dyDescent="0.25"/>
    <row r="38" ht="45" customHeight="1" x14ac:dyDescent="0.25"/>
    <row r="39" ht="45" customHeight="1" x14ac:dyDescent="0.25"/>
    <row r="40" ht="45" customHeight="1" x14ac:dyDescent="0.25"/>
    <row r="41" ht="45" customHeight="1" x14ac:dyDescent="0.25"/>
    <row r="42" ht="45" customHeight="1" x14ac:dyDescent="0.25"/>
    <row r="43" ht="45" customHeight="1" x14ac:dyDescent="0.25"/>
    <row r="44" ht="45" customHeight="1" x14ac:dyDescent="0.25"/>
    <row r="45" ht="45" customHeight="1" x14ac:dyDescent="0.25"/>
    <row r="46" ht="45" customHeight="1" x14ac:dyDescent="0.25"/>
    <row r="47" ht="45" customHeight="1" x14ac:dyDescent="0.25"/>
    <row r="48" ht="45" customHeight="1" x14ac:dyDescent="0.25"/>
    <row r="49" ht="45" customHeight="1" x14ac:dyDescent="0.25"/>
    <row r="50" ht="45" customHeight="1" x14ac:dyDescent="0.25"/>
  </sheetData>
  <mergeCells count="4">
    <mergeCell ref="D1:E1"/>
    <mergeCell ref="F1:G1"/>
    <mergeCell ref="H1:I1"/>
    <mergeCell ref="J1:K1"/>
  </mergeCells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35"/>
  <sheetViews>
    <sheetView topLeftCell="D1" workbookViewId="0">
      <selection activeCell="P16" sqref="P16"/>
    </sheetView>
  </sheetViews>
  <sheetFormatPr defaultRowHeight="15" x14ac:dyDescent="0.25"/>
  <cols>
    <col min="1" max="1" width="25.5703125" customWidth="1"/>
    <col min="2" max="2" width="19.5703125" bestFit="1" customWidth="1"/>
    <col min="3" max="4" width="5" customWidth="1"/>
    <col min="5" max="5" width="10.7109375" bestFit="1" customWidth="1"/>
    <col min="6" max="6" width="10.7109375" customWidth="1"/>
    <col min="7" max="7" width="5.28515625" customWidth="1"/>
    <col min="8" max="8" width="27.42578125" customWidth="1"/>
    <col min="9" max="9" width="19.5703125" customWidth="1"/>
    <col min="10" max="10" width="5" customWidth="1"/>
    <col min="11" max="11" width="5" bestFit="1" customWidth="1"/>
    <col min="12" max="12" width="10.7109375" bestFit="1" customWidth="1"/>
    <col min="13" max="13" width="8" customWidth="1"/>
    <col min="14" max="14" width="18" customWidth="1"/>
    <col min="15" max="15" width="19.5703125" bestFit="1" customWidth="1"/>
    <col min="16" max="16" width="25.5703125" customWidth="1"/>
    <col min="17" max="17" width="12.7109375" customWidth="1"/>
    <col min="18" max="18" width="4.5703125" customWidth="1"/>
    <col min="19" max="19" width="3.42578125" customWidth="1"/>
    <col min="20" max="20" width="5.28515625" customWidth="1"/>
    <col min="21" max="21" width="3.7109375" customWidth="1"/>
    <col min="22" max="22" width="10.5703125" customWidth="1"/>
    <col min="23" max="23" width="6.140625" customWidth="1"/>
    <col min="24" max="24" width="7.85546875" customWidth="1"/>
    <col min="25" max="25" width="5.28515625" customWidth="1"/>
    <col min="26" max="26" width="7.85546875" customWidth="1"/>
    <col min="27" max="27" width="5" customWidth="1"/>
    <col min="28" max="28" width="7.85546875" customWidth="1"/>
    <col min="29" max="29" width="5" customWidth="1"/>
    <col min="30" max="30" width="7.85546875" customWidth="1"/>
    <col min="31" max="31" width="5" customWidth="1"/>
    <col min="32" max="32" width="7.85546875" customWidth="1"/>
    <col min="33" max="33" width="25.5703125" customWidth="1"/>
    <col min="34" max="34" width="7.85546875" customWidth="1"/>
    <col min="35" max="35" width="5" customWidth="1"/>
    <col min="36" max="36" width="7.85546875" customWidth="1"/>
    <col min="37" max="37" width="5.85546875" customWidth="1"/>
    <col min="38" max="38" width="8.85546875" customWidth="1"/>
    <col min="39" max="39" width="5.85546875" customWidth="1"/>
    <col min="40" max="40" width="8.85546875" customWidth="1"/>
    <col min="41" max="41" width="5.85546875" customWidth="1"/>
    <col min="42" max="42" width="8.85546875" customWidth="1"/>
    <col min="43" max="43" width="6.140625" customWidth="1"/>
    <col min="44" max="44" width="8.85546875" customWidth="1"/>
    <col min="45" max="45" width="25.5703125" bestFit="1" customWidth="1"/>
    <col min="46" max="46" width="8.85546875" customWidth="1"/>
    <col min="47" max="47" width="10.5703125" customWidth="1"/>
    <col min="48" max="48" width="19.7109375" bestFit="1" customWidth="1"/>
    <col min="49" max="49" width="18.7109375" bestFit="1" customWidth="1"/>
    <col min="50" max="50" width="19.7109375" bestFit="1" customWidth="1"/>
    <col min="51" max="51" width="23.28515625" bestFit="1" customWidth="1"/>
    <col min="52" max="52" width="24.28515625" bestFit="1" customWidth="1"/>
    <col min="53" max="53" width="23.7109375" bestFit="1" customWidth="1"/>
    <col min="54" max="54" width="24.7109375" bestFit="1" customWidth="1"/>
  </cols>
  <sheetData>
    <row r="3" spans="1:22" x14ac:dyDescent="0.25">
      <c r="I3" s="107" t="s">
        <v>107</v>
      </c>
      <c r="N3" s="128"/>
      <c r="O3" s="128"/>
      <c r="P3" s="129"/>
      <c r="Q3" s="129"/>
      <c r="R3" s="129"/>
      <c r="S3" s="129"/>
      <c r="T3" s="129"/>
      <c r="U3" s="129"/>
      <c r="V3" s="130"/>
    </row>
    <row r="4" spans="1:22" x14ac:dyDescent="0.25">
      <c r="H4" s="107" t="s">
        <v>105</v>
      </c>
      <c r="I4">
        <v>2019</v>
      </c>
      <c r="J4">
        <v>2020</v>
      </c>
      <c r="K4">
        <v>2021</v>
      </c>
      <c r="L4" t="s">
        <v>106</v>
      </c>
      <c r="N4" s="128"/>
      <c r="O4" s="128"/>
      <c r="P4" s="138"/>
      <c r="Q4" s="138"/>
      <c r="R4" s="138"/>
      <c r="S4" s="138"/>
      <c r="T4" s="138"/>
      <c r="U4" s="138"/>
      <c r="V4" s="139"/>
    </row>
    <row r="5" spans="1:22" x14ac:dyDescent="0.25">
      <c r="A5" s="107" t="s">
        <v>109</v>
      </c>
      <c r="B5" s="107" t="s">
        <v>107</v>
      </c>
      <c r="H5" s="108" t="s">
        <v>92</v>
      </c>
      <c r="I5" s="109"/>
      <c r="J5" s="109"/>
      <c r="K5" s="109"/>
      <c r="L5" s="109"/>
      <c r="N5" s="140"/>
      <c r="O5" s="128"/>
      <c r="P5" s="129"/>
      <c r="Q5" s="129"/>
      <c r="R5" s="129"/>
      <c r="S5" s="129"/>
      <c r="T5" s="129"/>
      <c r="U5" s="129"/>
      <c r="V5" s="130"/>
    </row>
    <row r="6" spans="1:22" x14ac:dyDescent="0.25">
      <c r="A6" s="107" t="s">
        <v>105</v>
      </c>
      <c r="B6">
        <v>2019</v>
      </c>
      <c r="C6">
        <v>2020</v>
      </c>
      <c r="D6">
        <v>2021</v>
      </c>
      <c r="E6" t="s">
        <v>106</v>
      </c>
      <c r="H6" s="137" t="s">
        <v>110</v>
      </c>
      <c r="I6" s="109"/>
      <c r="J6" s="109"/>
      <c r="K6" s="109">
        <v>210</v>
      </c>
      <c r="L6" s="109">
        <v>210</v>
      </c>
      <c r="N6" s="142"/>
      <c r="O6" s="131"/>
      <c r="P6" s="132"/>
      <c r="Q6" s="132"/>
      <c r="R6" s="132"/>
      <c r="S6" s="132"/>
      <c r="T6" s="132"/>
      <c r="U6" s="132"/>
      <c r="V6" s="133"/>
    </row>
    <row r="7" spans="1:22" x14ac:dyDescent="0.25">
      <c r="A7" s="108" t="s">
        <v>92</v>
      </c>
      <c r="B7" s="109"/>
      <c r="C7" s="109"/>
      <c r="D7" s="109">
        <v>2</v>
      </c>
      <c r="E7" s="109">
        <v>2</v>
      </c>
      <c r="H7" s="137" t="s">
        <v>111</v>
      </c>
      <c r="I7" s="109"/>
      <c r="J7" s="109"/>
      <c r="K7" s="109">
        <v>128</v>
      </c>
      <c r="L7" s="109">
        <v>128</v>
      </c>
      <c r="N7" s="142"/>
      <c r="O7" s="131"/>
      <c r="P7" s="132"/>
      <c r="Q7" s="132"/>
      <c r="R7" s="132"/>
      <c r="S7" s="132"/>
      <c r="T7" s="132"/>
      <c r="U7" s="132"/>
      <c r="V7" s="133"/>
    </row>
    <row r="8" spans="1:22" x14ac:dyDescent="0.25">
      <c r="A8" s="108" t="s">
        <v>67</v>
      </c>
      <c r="B8" s="109">
        <v>2</v>
      </c>
      <c r="C8" s="109"/>
      <c r="D8" s="109"/>
      <c r="E8" s="109">
        <v>2</v>
      </c>
      <c r="H8" s="137" t="s">
        <v>112</v>
      </c>
      <c r="I8" s="109"/>
      <c r="J8" s="109"/>
      <c r="K8" s="109">
        <v>2</v>
      </c>
      <c r="L8" s="109">
        <v>2</v>
      </c>
      <c r="N8" s="141"/>
      <c r="O8" s="134"/>
      <c r="P8" s="135"/>
      <c r="Q8" s="135"/>
      <c r="R8" s="135"/>
      <c r="S8" s="135"/>
      <c r="T8" s="135"/>
      <c r="U8" s="135"/>
      <c r="V8" s="136"/>
    </row>
    <row r="9" spans="1:22" x14ac:dyDescent="0.25">
      <c r="A9" s="108" t="s">
        <v>35</v>
      </c>
      <c r="B9" s="109">
        <v>1</v>
      </c>
      <c r="C9" s="109"/>
      <c r="D9" s="109"/>
      <c r="E9" s="109">
        <v>1</v>
      </c>
      <c r="H9" s="108" t="s">
        <v>67</v>
      </c>
      <c r="I9" s="109"/>
      <c r="J9" s="109"/>
      <c r="K9" s="109"/>
      <c r="L9" s="109"/>
    </row>
    <row r="10" spans="1:22" x14ac:dyDescent="0.25">
      <c r="A10" s="108" t="s">
        <v>81</v>
      </c>
      <c r="B10" s="109"/>
      <c r="C10" s="109">
        <v>1</v>
      </c>
      <c r="D10" s="109"/>
      <c r="E10" s="109">
        <v>1</v>
      </c>
      <c r="H10" s="137" t="s">
        <v>110</v>
      </c>
      <c r="I10" s="109">
        <v>374</v>
      </c>
      <c r="J10" s="109"/>
      <c r="K10" s="109"/>
      <c r="L10" s="109">
        <v>374</v>
      </c>
    </row>
    <row r="11" spans="1:22" x14ac:dyDescent="0.25">
      <c r="A11" s="108" t="s">
        <v>84</v>
      </c>
      <c r="B11" s="109"/>
      <c r="C11" s="109">
        <v>1</v>
      </c>
      <c r="D11" s="109"/>
      <c r="E11" s="109">
        <v>1</v>
      </c>
      <c r="H11" s="137" t="s">
        <v>111</v>
      </c>
      <c r="I11" s="109">
        <v>262</v>
      </c>
      <c r="J11" s="109"/>
      <c r="K11" s="109"/>
      <c r="L11" s="109">
        <v>262</v>
      </c>
    </row>
    <row r="12" spans="1:22" x14ac:dyDescent="0.25">
      <c r="A12" s="108" t="s">
        <v>29</v>
      </c>
      <c r="B12" s="109">
        <v>1</v>
      </c>
      <c r="C12" s="109"/>
      <c r="D12" s="109">
        <v>2</v>
      </c>
      <c r="E12" s="109">
        <v>3</v>
      </c>
      <c r="H12" s="137" t="s">
        <v>112</v>
      </c>
      <c r="I12" s="109">
        <v>15</v>
      </c>
      <c r="J12" s="109"/>
      <c r="K12" s="109"/>
      <c r="L12" s="109">
        <v>15</v>
      </c>
    </row>
    <row r="13" spans="1:22" x14ac:dyDescent="0.25">
      <c r="A13" s="108" t="s">
        <v>28</v>
      </c>
      <c r="B13" s="109">
        <v>3</v>
      </c>
      <c r="C13" s="109">
        <v>2</v>
      </c>
      <c r="D13" s="109">
        <v>1</v>
      </c>
      <c r="E13" s="109">
        <v>6</v>
      </c>
      <c r="H13" s="108" t="s">
        <v>35</v>
      </c>
      <c r="I13" s="109"/>
      <c r="J13" s="109"/>
      <c r="K13" s="109"/>
      <c r="L13" s="109"/>
    </row>
    <row r="14" spans="1:22" x14ac:dyDescent="0.25">
      <c r="A14" s="108" t="s">
        <v>106</v>
      </c>
      <c r="B14" s="109">
        <v>7</v>
      </c>
      <c r="C14" s="109">
        <v>4</v>
      </c>
      <c r="D14" s="109">
        <v>5</v>
      </c>
      <c r="E14" s="109">
        <v>16</v>
      </c>
      <c r="H14" s="137" t="s">
        <v>110</v>
      </c>
      <c r="I14" s="109">
        <v>17</v>
      </c>
      <c r="J14" s="109"/>
      <c r="K14" s="109"/>
      <c r="L14" s="109">
        <v>17</v>
      </c>
    </row>
    <row r="15" spans="1:22" x14ac:dyDescent="0.25">
      <c r="H15" s="137" t="s">
        <v>111</v>
      </c>
      <c r="I15" s="109">
        <v>16</v>
      </c>
      <c r="J15" s="109"/>
      <c r="K15" s="109"/>
      <c r="L15" s="109">
        <v>16</v>
      </c>
    </row>
    <row r="16" spans="1:22" x14ac:dyDescent="0.25">
      <c r="H16" s="137" t="s">
        <v>112</v>
      </c>
      <c r="I16" s="109">
        <v>1</v>
      </c>
      <c r="J16" s="109"/>
      <c r="K16" s="109"/>
      <c r="L16" s="109">
        <v>1</v>
      </c>
    </row>
    <row r="17" spans="1:12" x14ac:dyDescent="0.25">
      <c r="H17" s="108" t="s">
        <v>81</v>
      </c>
      <c r="I17" s="109"/>
      <c r="J17" s="109"/>
      <c r="K17" s="109"/>
      <c r="L17" s="109"/>
    </row>
    <row r="18" spans="1:12" x14ac:dyDescent="0.25">
      <c r="H18" s="137" t="s">
        <v>110</v>
      </c>
      <c r="I18" s="109"/>
      <c r="J18" s="109">
        <v>74</v>
      </c>
      <c r="K18" s="109"/>
      <c r="L18" s="109">
        <v>74</v>
      </c>
    </row>
    <row r="19" spans="1:12" x14ac:dyDescent="0.25">
      <c r="H19" s="137" t="s">
        <v>111</v>
      </c>
      <c r="I19" s="109"/>
      <c r="J19" s="109">
        <v>61</v>
      </c>
      <c r="K19" s="109"/>
      <c r="L19" s="109">
        <v>61</v>
      </c>
    </row>
    <row r="20" spans="1:12" x14ac:dyDescent="0.25">
      <c r="H20" s="137" t="s">
        <v>112</v>
      </c>
      <c r="I20" s="109"/>
      <c r="J20" s="109">
        <v>2</v>
      </c>
      <c r="K20" s="109"/>
      <c r="L20" s="109">
        <v>2</v>
      </c>
    </row>
    <row r="21" spans="1:12" x14ac:dyDescent="0.25">
      <c r="H21" s="108" t="s">
        <v>84</v>
      </c>
      <c r="I21" s="109"/>
      <c r="J21" s="109"/>
      <c r="K21" s="109"/>
      <c r="L21" s="109"/>
    </row>
    <row r="22" spans="1:12" x14ac:dyDescent="0.25">
      <c r="H22" s="137" t="s">
        <v>110</v>
      </c>
      <c r="I22" s="109"/>
      <c r="J22" s="109">
        <v>71</v>
      </c>
      <c r="K22" s="109"/>
      <c r="L22" s="109">
        <v>71</v>
      </c>
    </row>
    <row r="23" spans="1:12" x14ac:dyDescent="0.25">
      <c r="A23" s="107" t="s">
        <v>108</v>
      </c>
      <c r="B23" s="107" t="s">
        <v>107</v>
      </c>
      <c r="H23" s="137" t="s">
        <v>111</v>
      </c>
      <c r="I23" s="109"/>
      <c r="J23" s="109">
        <v>53</v>
      </c>
      <c r="K23" s="109"/>
      <c r="L23" s="109">
        <v>53</v>
      </c>
    </row>
    <row r="24" spans="1:12" x14ac:dyDescent="0.25">
      <c r="A24" s="107" t="s">
        <v>105</v>
      </c>
      <c r="B24">
        <v>2019</v>
      </c>
      <c r="C24">
        <v>2020</v>
      </c>
      <c r="D24">
        <v>2021</v>
      </c>
      <c r="E24" t="s">
        <v>106</v>
      </c>
      <c r="H24" s="137" t="s">
        <v>112</v>
      </c>
      <c r="I24" s="109"/>
      <c r="J24" s="109">
        <v>3</v>
      </c>
      <c r="K24" s="109"/>
      <c r="L24" s="109">
        <v>3</v>
      </c>
    </row>
    <row r="25" spans="1:12" x14ac:dyDescent="0.25">
      <c r="A25" s="108" t="s">
        <v>92</v>
      </c>
      <c r="B25" s="109"/>
      <c r="C25" s="109"/>
      <c r="D25" s="109">
        <v>210</v>
      </c>
      <c r="E25" s="109">
        <v>210</v>
      </c>
      <c r="H25" s="108" t="s">
        <v>29</v>
      </c>
      <c r="I25" s="109"/>
      <c r="J25" s="109"/>
      <c r="K25" s="109"/>
      <c r="L25" s="109"/>
    </row>
    <row r="26" spans="1:12" x14ac:dyDescent="0.25">
      <c r="A26" s="108" t="s">
        <v>67</v>
      </c>
      <c r="B26" s="109">
        <v>374</v>
      </c>
      <c r="C26" s="109"/>
      <c r="D26" s="109"/>
      <c r="E26" s="109">
        <v>374</v>
      </c>
      <c r="H26" s="137" t="s">
        <v>110</v>
      </c>
      <c r="I26" s="109">
        <v>137</v>
      </c>
      <c r="J26" s="109"/>
      <c r="K26" s="109">
        <v>166</v>
      </c>
      <c r="L26" s="109">
        <v>303</v>
      </c>
    </row>
    <row r="27" spans="1:12" x14ac:dyDescent="0.25">
      <c r="A27" s="108" t="s">
        <v>35</v>
      </c>
      <c r="B27" s="109">
        <v>42</v>
      </c>
      <c r="C27" s="109"/>
      <c r="D27" s="109"/>
      <c r="E27" s="109">
        <v>42</v>
      </c>
      <c r="H27" s="137" t="s">
        <v>111</v>
      </c>
      <c r="I27" s="109">
        <v>99</v>
      </c>
      <c r="J27" s="109"/>
      <c r="K27" s="109">
        <v>99</v>
      </c>
      <c r="L27" s="109">
        <v>198</v>
      </c>
    </row>
    <row r="28" spans="1:12" x14ac:dyDescent="0.25">
      <c r="A28" s="108" t="s">
        <v>81</v>
      </c>
      <c r="B28" s="109"/>
      <c r="C28" s="109">
        <v>74</v>
      </c>
      <c r="D28" s="109"/>
      <c r="E28" s="109">
        <v>74</v>
      </c>
      <c r="H28" s="137" t="s">
        <v>112</v>
      </c>
      <c r="I28" s="109">
        <v>10</v>
      </c>
      <c r="J28" s="109"/>
      <c r="K28" s="109">
        <v>8</v>
      </c>
      <c r="L28" s="109">
        <v>18</v>
      </c>
    </row>
    <row r="29" spans="1:12" x14ac:dyDescent="0.25">
      <c r="A29" s="108" t="s">
        <v>84</v>
      </c>
      <c r="B29" s="109"/>
      <c r="C29" s="109">
        <v>71</v>
      </c>
      <c r="D29" s="109"/>
      <c r="E29" s="109">
        <v>71</v>
      </c>
      <c r="H29" s="108" t="s">
        <v>28</v>
      </c>
      <c r="I29" s="109"/>
      <c r="J29" s="109"/>
      <c r="K29" s="109"/>
      <c r="L29" s="109"/>
    </row>
    <row r="30" spans="1:12" x14ac:dyDescent="0.25">
      <c r="A30" s="108" t="s">
        <v>29</v>
      </c>
      <c r="B30" s="109">
        <v>137</v>
      </c>
      <c r="C30" s="109"/>
      <c r="D30" s="109">
        <v>166</v>
      </c>
      <c r="E30" s="109">
        <v>303</v>
      </c>
      <c r="H30" s="137" t="s">
        <v>110</v>
      </c>
      <c r="I30" s="109">
        <v>147</v>
      </c>
      <c r="J30" s="109">
        <v>187</v>
      </c>
      <c r="K30" s="109">
        <v>28</v>
      </c>
      <c r="L30" s="109">
        <v>362</v>
      </c>
    </row>
    <row r="31" spans="1:12" x14ac:dyDescent="0.25">
      <c r="A31" s="108" t="s">
        <v>28</v>
      </c>
      <c r="B31" s="109">
        <v>147</v>
      </c>
      <c r="C31" s="109">
        <v>187</v>
      </c>
      <c r="D31" s="109">
        <v>28</v>
      </c>
      <c r="E31" s="109">
        <v>362</v>
      </c>
      <c r="H31" s="137" t="s">
        <v>111</v>
      </c>
      <c r="I31" s="109">
        <v>91</v>
      </c>
      <c r="J31" s="109">
        <v>125</v>
      </c>
      <c r="K31" s="109">
        <v>27</v>
      </c>
      <c r="L31" s="109">
        <v>243</v>
      </c>
    </row>
    <row r="32" spans="1:12" x14ac:dyDescent="0.25">
      <c r="A32" s="108" t="s">
        <v>106</v>
      </c>
      <c r="B32" s="109">
        <v>700</v>
      </c>
      <c r="C32" s="109">
        <v>332</v>
      </c>
      <c r="D32" s="109">
        <v>404</v>
      </c>
      <c r="E32" s="109">
        <v>1436</v>
      </c>
      <c r="H32" s="137" t="s">
        <v>112</v>
      </c>
      <c r="I32" s="109">
        <v>3</v>
      </c>
      <c r="J32" s="109">
        <v>2</v>
      </c>
      <c r="K32" s="109">
        <v>1</v>
      </c>
      <c r="L32" s="109">
        <v>6</v>
      </c>
    </row>
    <row r="33" spans="8:12" x14ac:dyDescent="0.25">
      <c r="H33" s="108" t="s">
        <v>113</v>
      </c>
      <c r="I33" s="109">
        <v>675</v>
      </c>
      <c r="J33" s="109">
        <v>332</v>
      </c>
      <c r="K33" s="109">
        <v>404</v>
      </c>
      <c r="L33" s="109">
        <v>1411</v>
      </c>
    </row>
    <row r="34" spans="8:12" x14ac:dyDescent="0.25">
      <c r="H34" s="108" t="s">
        <v>114</v>
      </c>
      <c r="I34" s="109">
        <v>468</v>
      </c>
      <c r="J34" s="109">
        <v>239</v>
      </c>
      <c r="K34" s="109">
        <v>254</v>
      </c>
      <c r="L34" s="109">
        <v>961</v>
      </c>
    </row>
    <row r="35" spans="8:12" x14ac:dyDescent="0.25">
      <c r="H35" s="108" t="s">
        <v>115</v>
      </c>
      <c r="I35" s="109">
        <v>29</v>
      </c>
      <c r="J35" s="109">
        <v>7</v>
      </c>
      <c r="K35" s="109">
        <v>11</v>
      </c>
      <c r="L35" s="109">
        <v>47</v>
      </c>
    </row>
  </sheetData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abSelected="1" workbookViewId="0">
      <selection activeCell="AC10" sqref="AC10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0"/>
  <sheetViews>
    <sheetView showGridLines="0" zoomScale="80" zoomScaleNormal="80" workbookViewId="0">
      <pane xSplit="4" ySplit="2" topLeftCell="H3" activePane="bottomRight" state="frozen"/>
      <selection pane="topRight" activeCell="C1" sqref="C1"/>
      <selection pane="bottomLeft" activeCell="A2" sqref="A2"/>
      <selection pane="bottomRight" activeCell="M31" sqref="M31"/>
    </sheetView>
  </sheetViews>
  <sheetFormatPr defaultColWidth="65.7109375" defaultRowHeight="30" customHeight="1" x14ac:dyDescent="0.25"/>
  <cols>
    <col min="1" max="1" width="11.5703125" style="13" bestFit="1" customWidth="1"/>
    <col min="2" max="2" width="20.85546875" style="2" customWidth="1"/>
    <col min="3" max="3" width="65.7109375" style="5"/>
    <col min="4" max="4" width="11.7109375" style="2" customWidth="1"/>
    <col min="5" max="5" width="27.7109375" style="2" customWidth="1"/>
    <col min="6" max="8" width="25.7109375" style="1" customWidth="1"/>
    <col min="9" max="9" width="25.7109375" style="35" customWidth="1"/>
    <col min="10" max="13" width="25.5703125" style="1" customWidth="1"/>
    <col min="14" max="16384" width="65.7109375" style="2"/>
  </cols>
  <sheetData>
    <row r="1" spans="1:13" ht="30" customHeight="1" x14ac:dyDescent="0.25">
      <c r="A1" s="11"/>
      <c r="B1" s="64"/>
      <c r="C1" s="8"/>
      <c r="D1" s="64"/>
      <c r="E1" s="7"/>
      <c r="F1" s="6">
        <f>SUM(Tabela3[Inscritos])</f>
        <v>1436</v>
      </c>
      <c r="G1" s="6">
        <f>SUM(Tabela3[Matriculados])</f>
        <v>1411</v>
      </c>
      <c r="H1" s="6">
        <f>SUM(Tabela3[Aprovados])</f>
        <v>961</v>
      </c>
      <c r="I1" s="33"/>
      <c r="J1" s="6">
        <f>SUM(Tabela3[Reprovados])</f>
        <v>47</v>
      </c>
      <c r="K1" s="6">
        <f>SUM(Tabela3[Desistentes])</f>
        <v>106</v>
      </c>
      <c r="L1" s="6">
        <f>SUM(Tabela3[Não responderam o 1º questionário])</f>
        <v>68</v>
      </c>
      <c r="M1" s="6">
        <f>SUM(Tabela3[Nunca acessaram o curso])</f>
        <v>229</v>
      </c>
    </row>
    <row r="2" spans="1:13" s="19" customFormat="1" ht="30" customHeight="1" x14ac:dyDescent="0.25">
      <c r="A2" s="14" t="s">
        <v>13</v>
      </c>
      <c r="B2" s="9" t="s">
        <v>27</v>
      </c>
      <c r="C2" s="15" t="s">
        <v>0</v>
      </c>
      <c r="D2" s="16" t="s">
        <v>5</v>
      </c>
      <c r="E2" s="17" t="s">
        <v>18</v>
      </c>
      <c r="F2" s="16" t="s">
        <v>11</v>
      </c>
      <c r="G2" s="16" t="s">
        <v>12</v>
      </c>
      <c r="H2" s="16" t="s">
        <v>68</v>
      </c>
      <c r="I2" s="34" t="s">
        <v>36</v>
      </c>
      <c r="J2" s="16" t="s">
        <v>14</v>
      </c>
      <c r="K2" s="16" t="s">
        <v>15</v>
      </c>
      <c r="L2" s="18" t="s">
        <v>16</v>
      </c>
      <c r="M2" s="18" t="s">
        <v>17</v>
      </c>
    </row>
    <row r="3" spans="1:13" ht="30" customHeight="1" x14ac:dyDescent="0.25">
      <c r="A3" s="12">
        <v>1</v>
      </c>
      <c r="B3" s="65" t="s">
        <v>35</v>
      </c>
      <c r="C3" s="3" t="str">
        <f>'Controle adm. dos cursos'!B3</f>
        <v>Conhecimentos Fundamentais em Proteção e Defesa Civil - DPDC</v>
      </c>
      <c r="D3" s="4">
        <f>'Controle adm. dos cursos'!C3</f>
        <v>2019</v>
      </c>
      <c r="E3" s="66" t="s">
        <v>19</v>
      </c>
      <c r="F3" s="67">
        <v>42</v>
      </c>
      <c r="G3" s="67">
        <v>17</v>
      </c>
      <c r="H3" s="67">
        <v>16</v>
      </c>
      <c r="I3" s="32">
        <f>IFERROR((Tabela3[[#This Row],[Aprovados]]*100)/Tabela3[[#This Row],[Matriculados]],0)</f>
        <v>94.117647058823536</v>
      </c>
      <c r="J3" s="67">
        <v>1</v>
      </c>
      <c r="K3" s="67">
        <v>0</v>
      </c>
      <c r="L3" s="67">
        <v>0</v>
      </c>
      <c r="M3" s="68">
        <v>0</v>
      </c>
    </row>
    <row r="4" spans="1:13" ht="30" customHeight="1" x14ac:dyDescent="0.25">
      <c r="A4" s="12">
        <v>2</v>
      </c>
      <c r="B4" s="65" t="s">
        <v>29</v>
      </c>
      <c r="C4" s="3" t="str">
        <f>'Controle adm. dos cursos'!B4</f>
        <v>Conhecimentos Básicos para Integrantes da Rede Estadual de Emergência de Radioamadores - REER - Turma 2019</v>
      </c>
      <c r="D4" s="4">
        <f>'Controle adm. dos cursos'!C4</f>
        <v>2019</v>
      </c>
      <c r="E4" s="66" t="s">
        <v>19</v>
      </c>
      <c r="F4" s="67">
        <v>137</v>
      </c>
      <c r="G4" s="67">
        <v>137</v>
      </c>
      <c r="H4" s="67">
        <v>99</v>
      </c>
      <c r="I4" s="32">
        <f>IFERROR((Tabela3[[#This Row],[Aprovados]]*100)/Tabela3[[#This Row],[Matriculados]],0)</f>
        <v>72.262773722627742</v>
      </c>
      <c r="J4" s="67">
        <v>10</v>
      </c>
      <c r="K4" s="67">
        <v>1</v>
      </c>
      <c r="L4" s="67">
        <v>1</v>
      </c>
      <c r="M4" s="68">
        <v>26</v>
      </c>
    </row>
    <row r="5" spans="1:13" ht="30" customHeight="1" x14ac:dyDescent="0.25">
      <c r="A5" s="12">
        <v>3</v>
      </c>
      <c r="B5" s="65" t="s">
        <v>28</v>
      </c>
      <c r="C5" s="3" t="str">
        <f>'Controle adm. dos cursos'!B5</f>
        <v>SCI - Sistema de Comando de Incidentes</v>
      </c>
      <c r="D5" s="4">
        <f>'Controle adm. dos cursos'!C5</f>
        <v>2019</v>
      </c>
      <c r="E5" s="66" t="s">
        <v>19</v>
      </c>
      <c r="F5" s="67">
        <v>22</v>
      </c>
      <c r="G5" s="67">
        <v>22</v>
      </c>
      <c r="H5" s="67">
        <v>9</v>
      </c>
      <c r="I5" s="32">
        <f>IFERROR((Tabela3[[#This Row],[Aprovados]]*100)/Tabela3[[#This Row],[Matriculados]],0)</f>
        <v>40.909090909090907</v>
      </c>
      <c r="J5" s="67">
        <v>2</v>
      </c>
      <c r="K5" s="67">
        <v>6</v>
      </c>
      <c r="L5" s="67">
        <v>3</v>
      </c>
      <c r="M5" s="68">
        <v>2</v>
      </c>
    </row>
    <row r="6" spans="1:13" ht="30" customHeight="1" x14ac:dyDescent="0.25">
      <c r="A6" s="12">
        <v>4</v>
      </c>
      <c r="B6" s="65" t="s">
        <v>28</v>
      </c>
      <c r="C6" s="3" t="str">
        <f>'Controle adm. dos cursos'!B6</f>
        <v>SCI - Sistema de Comando de Incidentes - Turma ADAPAR</v>
      </c>
      <c r="D6" s="4">
        <f>'Controle adm. dos cursos'!C6</f>
        <v>2019</v>
      </c>
      <c r="E6" s="66" t="s">
        <v>19</v>
      </c>
      <c r="F6" s="67">
        <v>27</v>
      </c>
      <c r="G6" s="67">
        <v>27</v>
      </c>
      <c r="H6" s="67">
        <v>25</v>
      </c>
      <c r="I6" s="32">
        <f>IFERROR((Tabela3[[#This Row],[Aprovados]]*100)/Tabela3[[#This Row],[Matriculados]],0)</f>
        <v>92.592592592592595</v>
      </c>
      <c r="J6" s="67">
        <v>0</v>
      </c>
      <c r="K6" s="67">
        <v>0</v>
      </c>
      <c r="L6" s="67">
        <v>0</v>
      </c>
      <c r="M6" s="68">
        <v>2</v>
      </c>
    </row>
    <row r="7" spans="1:13" ht="30" customHeight="1" x14ac:dyDescent="0.25">
      <c r="A7" s="12">
        <v>5</v>
      </c>
      <c r="B7" s="65" t="s">
        <v>28</v>
      </c>
      <c r="C7" s="3" t="str">
        <f>'Controle adm. dos cursos'!B7</f>
        <v>SCI - Sistema de Comando de Incidentes - Turma II ADAPAR</v>
      </c>
      <c r="D7" s="4">
        <f>'Controle adm. dos cursos'!C7</f>
        <v>2019</v>
      </c>
      <c r="E7" s="66" t="s">
        <v>19</v>
      </c>
      <c r="F7" s="67">
        <v>98</v>
      </c>
      <c r="G7" s="67">
        <v>98</v>
      </c>
      <c r="H7" s="67">
        <v>57</v>
      </c>
      <c r="I7" s="32">
        <f>IFERROR((Tabela3[[#This Row],[Aprovados]]*100)/Tabela3[[#This Row],[Matriculados]],0)</f>
        <v>58.163265306122447</v>
      </c>
      <c r="J7" s="67">
        <v>1</v>
      </c>
      <c r="K7" s="67">
        <v>5</v>
      </c>
      <c r="L7" s="67">
        <v>14</v>
      </c>
      <c r="M7" s="68">
        <v>21</v>
      </c>
    </row>
    <row r="8" spans="1:13" ht="30" customHeight="1" x14ac:dyDescent="0.25">
      <c r="A8" s="12">
        <v>6</v>
      </c>
      <c r="B8" s="65" t="s">
        <v>67</v>
      </c>
      <c r="C8" s="3" t="str">
        <f>'Controle adm. dos cursos'!B8</f>
        <v>Atendimento de Emergências em Edificações - Turma CELEPAR</v>
      </c>
      <c r="D8" s="4">
        <f>'Controle adm. dos cursos'!C8</f>
        <v>2019</v>
      </c>
      <c r="E8" s="66" t="s">
        <v>19</v>
      </c>
      <c r="F8" s="67">
        <v>97</v>
      </c>
      <c r="G8" s="67">
        <v>97</v>
      </c>
      <c r="H8" s="67">
        <v>72</v>
      </c>
      <c r="I8" s="32">
        <f>IFERROR((Tabela3[[#This Row],[Aprovados]]*100)/Tabela3[[#This Row],[Matriculados]],0)</f>
        <v>74.226804123711347</v>
      </c>
      <c r="J8" s="67">
        <v>8</v>
      </c>
      <c r="K8" s="67">
        <v>2</v>
      </c>
      <c r="L8" s="67">
        <v>4</v>
      </c>
      <c r="M8" s="68">
        <v>11</v>
      </c>
    </row>
    <row r="9" spans="1:13" ht="30" customHeight="1" x14ac:dyDescent="0.25">
      <c r="A9" s="12">
        <v>7</v>
      </c>
      <c r="B9" s="65" t="s">
        <v>67</v>
      </c>
      <c r="C9" s="3" t="str">
        <f>'Controle adm. dos cursos'!B9</f>
        <v>Atendimento de Emergências em Edificações - Turma UEM</v>
      </c>
      <c r="D9" s="4">
        <f>'Controle adm. dos cursos'!C9</f>
        <v>2019</v>
      </c>
      <c r="E9" s="66" t="s">
        <v>19</v>
      </c>
      <c r="F9" s="67">
        <v>277</v>
      </c>
      <c r="G9" s="67">
        <v>277</v>
      </c>
      <c r="H9" s="67">
        <v>190</v>
      </c>
      <c r="I9" s="32">
        <f>IFERROR((Tabela3[[#This Row],[Aprovados]]*100)/Tabela3[[#This Row],[Matriculados]],0)</f>
        <v>68.592057761732846</v>
      </c>
      <c r="J9" s="67">
        <v>7</v>
      </c>
      <c r="K9" s="67">
        <v>8</v>
      </c>
      <c r="L9" s="67">
        <v>11</v>
      </c>
      <c r="M9" s="68">
        <v>61</v>
      </c>
    </row>
    <row r="10" spans="1:13" ht="30" customHeight="1" x14ac:dyDescent="0.25">
      <c r="A10" s="12">
        <v>8</v>
      </c>
      <c r="B10" s="65" t="s">
        <v>28</v>
      </c>
      <c r="C10" s="3" t="str">
        <f>'Controle adm. dos cursos'!B10</f>
        <v>SCI - Sistema de Comando de Incidentes - Turma APA 2020</v>
      </c>
      <c r="D10" s="4">
        <f>'Controle adm. dos cursos'!C10</f>
        <v>2020</v>
      </c>
      <c r="E10" s="66" t="s">
        <v>19</v>
      </c>
      <c r="F10" s="67">
        <v>60</v>
      </c>
      <c r="G10" s="67">
        <v>60</v>
      </c>
      <c r="H10" s="67">
        <v>29</v>
      </c>
      <c r="I10" s="32">
        <f>IFERROR((Tabela3[[#This Row],[Aprovados]]*100)/Tabela3[[#This Row],[Matriculados]],0)</f>
        <v>48.333333333333336</v>
      </c>
      <c r="J10" s="67">
        <v>1</v>
      </c>
      <c r="K10" s="67">
        <v>0</v>
      </c>
      <c r="L10" s="67">
        <v>2</v>
      </c>
      <c r="M10" s="68">
        <v>28</v>
      </c>
    </row>
    <row r="11" spans="1:13" ht="30" customHeight="1" x14ac:dyDescent="0.25">
      <c r="A11" s="12">
        <v>9</v>
      </c>
      <c r="B11" s="65" t="s">
        <v>81</v>
      </c>
      <c r="C11" s="3" t="str">
        <f>'Controle adm. dos cursos'!B11</f>
        <v>Conhecimentos em Proteção e Defesa Civil - Turma 6ª CORPDEC</v>
      </c>
      <c r="D11" s="4">
        <f>'Controle adm. dos cursos'!C11</f>
        <v>2020</v>
      </c>
      <c r="E11" s="66" t="s">
        <v>19</v>
      </c>
      <c r="F11" s="67">
        <v>74</v>
      </c>
      <c r="G11" s="67">
        <v>74</v>
      </c>
      <c r="H11" s="67">
        <v>61</v>
      </c>
      <c r="I11" s="32">
        <f>IFERROR((Tabela3[[#This Row],[Aprovados]]*100)/Tabela3[[#This Row],[Matriculados]],0)</f>
        <v>82.432432432432435</v>
      </c>
      <c r="J11" s="67">
        <v>2</v>
      </c>
      <c r="K11" s="67">
        <v>0</v>
      </c>
      <c r="L11" s="67">
        <v>5</v>
      </c>
      <c r="M11" s="68">
        <v>6</v>
      </c>
    </row>
    <row r="12" spans="1:13" ht="30" customHeight="1" x14ac:dyDescent="0.25">
      <c r="A12" s="12">
        <v>10</v>
      </c>
      <c r="B12" s="65" t="s">
        <v>84</v>
      </c>
      <c r="C12" s="3" t="str">
        <f>'Controle adm. dos cursos'!B12</f>
        <v>RISCOS E DESASTRES: conhecimentos fundamentais</v>
      </c>
      <c r="D12" s="4">
        <f>'Controle adm. dos cursos'!C12</f>
        <v>2020</v>
      </c>
      <c r="E12" s="66" t="s">
        <v>19</v>
      </c>
      <c r="F12" s="67">
        <v>71</v>
      </c>
      <c r="G12" s="67">
        <v>71</v>
      </c>
      <c r="H12" s="67">
        <v>53</v>
      </c>
      <c r="I12" s="32">
        <f>IFERROR((Tabela3[[#This Row],[Aprovados]]*100)/Tabela3[[#This Row],[Matriculados]],0)</f>
        <v>74.647887323943664</v>
      </c>
      <c r="J12" s="67">
        <v>3</v>
      </c>
      <c r="K12" s="67">
        <v>2</v>
      </c>
      <c r="L12" s="67">
        <v>5</v>
      </c>
      <c r="M12" s="68">
        <v>8</v>
      </c>
    </row>
    <row r="13" spans="1:13" ht="30" customHeight="1" x14ac:dyDescent="0.25">
      <c r="A13" s="12">
        <v>11</v>
      </c>
      <c r="B13" s="65" t="s">
        <v>28</v>
      </c>
      <c r="C13" s="3" t="str">
        <f>'Controle adm. dos cursos'!B13</f>
        <v>SCI - Sistema de Comando de Incidentes - Turma RS 2020</v>
      </c>
      <c r="D13" s="4">
        <f>'Controle adm. dos cursos'!C13</f>
        <v>2020</v>
      </c>
      <c r="E13" s="66" t="s">
        <v>19</v>
      </c>
      <c r="F13" s="67">
        <v>127</v>
      </c>
      <c r="G13" s="67">
        <v>127</v>
      </c>
      <c r="H13" s="67">
        <v>96</v>
      </c>
      <c r="I13" s="32">
        <f>IFERROR((Tabela3[[#This Row],[Aprovados]]*100)/Tabela3[[#This Row],[Matriculados]],0)</f>
        <v>75.590551181102356</v>
      </c>
      <c r="J13" s="67">
        <v>1</v>
      </c>
      <c r="K13" s="67">
        <v>7</v>
      </c>
      <c r="L13" s="67">
        <v>3</v>
      </c>
      <c r="M13" s="68">
        <v>20</v>
      </c>
    </row>
    <row r="14" spans="1:13" ht="30" customHeight="1" x14ac:dyDescent="0.25">
      <c r="A14" s="12">
        <v>12</v>
      </c>
      <c r="B14" s="65" t="s">
        <v>29</v>
      </c>
      <c r="C14" s="3" t="str">
        <f>'Controle adm. dos cursos'!B14</f>
        <v>Conhecimentos Básicos para Integrantes da Rede Estadual de Emergência de Radioamadores - TURMA 2021</v>
      </c>
      <c r="D14" s="4">
        <f>'Controle adm. dos cursos'!C14</f>
        <v>2021</v>
      </c>
      <c r="E14" s="66" t="s">
        <v>19</v>
      </c>
      <c r="F14" s="67">
        <v>126</v>
      </c>
      <c r="G14" s="67">
        <v>126</v>
      </c>
      <c r="H14" s="67">
        <v>87</v>
      </c>
      <c r="I14" s="32">
        <f>IFERROR((Tabela3[[#This Row],[Aprovados]]*100)/Tabela3[[#This Row],[Matriculados]],0)</f>
        <v>69.047619047619051</v>
      </c>
      <c r="J14" s="67">
        <v>4</v>
      </c>
      <c r="K14" s="67">
        <v>4</v>
      </c>
      <c r="L14" s="67">
        <v>9</v>
      </c>
      <c r="M14" s="68">
        <v>22</v>
      </c>
    </row>
    <row r="15" spans="1:13" ht="30" customHeight="1" x14ac:dyDescent="0.25">
      <c r="A15" s="12">
        <v>13</v>
      </c>
      <c r="B15" s="65" t="s">
        <v>92</v>
      </c>
      <c r="C15" s="3" t="str">
        <f>'Controle adm. dos cursos'!B15</f>
        <v>Conhecimentos Fundamentais para Gestores Municipais de Proteção e Defesa Civil - TURMA I 2021</v>
      </c>
      <c r="D15" s="4">
        <f>'Controle adm. dos cursos'!C15</f>
        <v>2021</v>
      </c>
      <c r="E15" s="66" t="s">
        <v>19</v>
      </c>
      <c r="F15" s="67">
        <v>176</v>
      </c>
      <c r="G15" s="67">
        <v>176</v>
      </c>
      <c r="H15" s="67">
        <v>106</v>
      </c>
      <c r="I15" s="32">
        <f>IFERROR((Tabela3[[#This Row],[Aprovados]]*100)/Tabela3[[#This Row],[Matriculados]],0)</f>
        <v>60.227272727272727</v>
      </c>
      <c r="J15" s="67">
        <v>1</v>
      </c>
      <c r="K15" s="67">
        <v>69</v>
      </c>
      <c r="L15" s="67">
        <v>0</v>
      </c>
      <c r="M15" s="68">
        <v>0</v>
      </c>
    </row>
    <row r="16" spans="1:13" ht="30" customHeight="1" x14ac:dyDescent="0.25">
      <c r="A16" s="12">
        <v>14</v>
      </c>
      <c r="B16" s="65" t="s">
        <v>28</v>
      </c>
      <c r="C16" s="3" t="str">
        <f>'Controle adm. dos cursos'!B16</f>
        <v>Sistema de Comando de Incidentes - Turma: 5ª Divisão de Exército - 2021</v>
      </c>
      <c r="D16" s="4">
        <f>'Controle adm. dos cursos'!C16</f>
        <v>2021</v>
      </c>
      <c r="E16" s="66" t="s">
        <v>19</v>
      </c>
      <c r="F16" s="67">
        <v>28</v>
      </c>
      <c r="G16" s="67">
        <v>28</v>
      </c>
      <c r="H16" s="67">
        <v>27</v>
      </c>
      <c r="I16" s="32">
        <f>IFERROR((Tabela3[[#This Row],[Aprovados]]*100)/Tabela3[[#This Row],[Matriculados]],0)</f>
        <v>96.428571428571431</v>
      </c>
      <c r="J16" s="67">
        <v>1</v>
      </c>
      <c r="K16" s="67">
        <v>0</v>
      </c>
      <c r="L16" s="67">
        <v>0</v>
      </c>
      <c r="M16" s="68">
        <v>0</v>
      </c>
    </row>
    <row r="17" spans="1:13" ht="30" customHeight="1" x14ac:dyDescent="0.25">
      <c r="A17" s="12">
        <v>15</v>
      </c>
      <c r="B17" s="65" t="s">
        <v>29</v>
      </c>
      <c r="C17" s="3" t="str">
        <f>'Controle adm. dos cursos'!B17</f>
        <v>Conhecimentos Básicos para Integrantes da Rede Estadual de Emergência de Radioamadores - TURMA II 2021</v>
      </c>
      <c r="D17" s="4">
        <f>'Controle adm. dos cursos'!C17</f>
        <v>2021</v>
      </c>
      <c r="E17" s="66" t="s">
        <v>19</v>
      </c>
      <c r="F17" s="67">
        <v>40</v>
      </c>
      <c r="G17" s="67">
        <v>40</v>
      </c>
      <c r="H17" s="67">
        <v>12</v>
      </c>
      <c r="I17" s="32">
        <f>IFERROR((Tabela3[[#This Row],[Aprovados]]*100)/Tabela3[[#This Row],[Matriculados]],0)</f>
        <v>30</v>
      </c>
      <c r="J17" s="67">
        <v>4</v>
      </c>
      <c r="K17" s="67">
        <v>2</v>
      </c>
      <c r="L17" s="67">
        <v>0</v>
      </c>
      <c r="M17" s="68">
        <v>22</v>
      </c>
    </row>
    <row r="18" spans="1:13" ht="30" customHeight="1" x14ac:dyDescent="0.25">
      <c r="A18" s="12">
        <v>16</v>
      </c>
      <c r="B18" s="65" t="s">
        <v>92</v>
      </c>
      <c r="C18" s="3" t="str">
        <f>'Controle adm. dos cursos'!B18</f>
        <v>Conhecimentos Fundamentais para Gestores Municipais de Proteção e Defesa Civil - TURMA II 2021</v>
      </c>
      <c r="D18" s="4">
        <f>'Controle adm. dos cursos'!C18</f>
        <v>2021</v>
      </c>
      <c r="E18" s="66" t="s">
        <v>19</v>
      </c>
      <c r="F18" s="67">
        <v>34</v>
      </c>
      <c r="G18" s="67">
        <v>34</v>
      </c>
      <c r="H18" s="67">
        <v>22</v>
      </c>
      <c r="I18" s="32">
        <f>IFERROR((Tabela3[[#This Row],[Aprovados]]*100)/Tabela3[[#This Row],[Matriculados]],0)</f>
        <v>64.705882352941174</v>
      </c>
      <c r="J18" s="67">
        <v>1</v>
      </c>
      <c r="K18" s="67">
        <v>0</v>
      </c>
      <c r="L18" s="67">
        <v>11</v>
      </c>
      <c r="M18" s="68">
        <v>0</v>
      </c>
    </row>
    <row r="19" spans="1:13" ht="30" customHeight="1" x14ac:dyDescent="0.25">
      <c r="A19" s="12">
        <v>17</v>
      </c>
      <c r="B19" s="65" t="s">
        <v>28</v>
      </c>
      <c r="C19" s="3" t="str">
        <f>'Controle adm. dos cursos'!B19</f>
        <v>Sistema de Comando de Incidentes - Turma: COSMO - 2021</v>
      </c>
      <c r="D19" s="4">
        <f>'Controle adm. dos cursos'!C19</f>
        <v>2021</v>
      </c>
      <c r="E19" s="66" t="s">
        <v>19</v>
      </c>
      <c r="F19" s="67">
        <v>41</v>
      </c>
      <c r="G19" s="67">
        <v>41</v>
      </c>
      <c r="H19" s="67"/>
      <c r="I19" s="32">
        <f>IFERROR((Tabela3[[#This Row],[Aprovados]]*100)/Tabela3[[#This Row],[Matriculados]],0)</f>
        <v>0</v>
      </c>
      <c r="J19" s="67"/>
      <c r="K19" s="67"/>
      <c r="L19" s="67"/>
      <c r="M19" s="68"/>
    </row>
    <row r="20" spans="1:13" ht="30" customHeight="1" x14ac:dyDescent="0.25">
      <c r="A20" s="12">
        <v>18</v>
      </c>
      <c r="B20" s="65"/>
      <c r="C20" s="3">
        <f>'Controle adm. dos cursos'!B20</f>
        <v>0</v>
      </c>
      <c r="D20" s="81">
        <f>'Controle adm. dos cursos'!C20</f>
        <v>0</v>
      </c>
      <c r="E20" s="97" t="s">
        <v>19</v>
      </c>
      <c r="F20" s="98"/>
      <c r="G20" s="98"/>
      <c r="H20" s="98"/>
      <c r="I20" s="99">
        <f>IFERROR((Tabela3[[#This Row],[Aprovados]]*100)/Tabela3[[#This Row],[Matriculados]],0)</f>
        <v>0</v>
      </c>
      <c r="J20" s="98"/>
      <c r="K20" s="98"/>
      <c r="L20" s="100"/>
      <c r="M20" s="101"/>
    </row>
    <row r="21" spans="1:13" ht="30" customHeight="1" x14ac:dyDescent="0.25">
      <c r="A21" s="12">
        <v>19</v>
      </c>
      <c r="B21" s="96"/>
      <c r="C21" s="3">
        <f>'Controle adm. dos cursos'!B21</f>
        <v>0</v>
      </c>
      <c r="D21" s="81">
        <f>'Controle adm. dos cursos'!C21</f>
        <v>0</v>
      </c>
      <c r="E21" s="97"/>
      <c r="F21" s="98"/>
      <c r="G21" s="98"/>
      <c r="H21" s="98"/>
      <c r="I21" s="99">
        <f>IFERROR((Tabela3[[#This Row],[Aprovados]]*100)/Tabela3[[#This Row],[Matriculados]],0)</f>
        <v>0</v>
      </c>
      <c r="J21" s="98"/>
      <c r="K21" s="98"/>
      <c r="L21" s="100"/>
      <c r="M21" s="101"/>
    </row>
    <row r="22" spans="1:13" ht="30" customHeight="1" x14ac:dyDescent="0.25">
      <c r="A22" s="12">
        <v>20</v>
      </c>
      <c r="B22" s="96"/>
      <c r="C22" s="3">
        <f>'Controle adm. dos cursos'!B22</f>
        <v>0</v>
      </c>
      <c r="D22" s="81">
        <f>'Controle adm. dos cursos'!C22</f>
        <v>0</v>
      </c>
      <c r="E22" s="97"/>
      <c r="F22" s="98"/>
      <c r="G22" s="98"/>
      <c r="H22" s="98"/>
      <c r="I22" s="99">
        <f>IFERROR((Tabela3[[#This Row],[Aprovados]]*100)/Tabela3[[#This Row],[Matriculados]],0)</f>
        <v>0</v>
      </c>
      <c r="J22" s="98"/>
      <c r="K22" s="98"/>
      <c r="L22" s="100"/>
      <c r="M22" s="101"/>
    </row>
    <row r="23" spans="1:13" ht="30" customHeight="1" x14ac:dyDescent="0.25">
      <c r="A23" s="12">
        <v>21</v>
      </c>
      <c r="B23" s="96"/>
      <c r="C23" s="3">
        <f>'Controle adm. dos cursos'!B23</f>
        <v>0</v>
      </c>
      <c r="D23" s="81">
        <f>'Controle adm. dos cursos'!C23</f>
        <v>0</v>
      </c>
      <c r="E23" s="97"/>
      <c r="F23" s="98"/>
      <c r="G23" s="98"/>
      <c r="H23" s="98"/>
      <c r="I23" s="99">
        <f>IFERROR((Tabela3[[#This Row],[Aprovados]]*100)/Tabela3[[#This Row],[Matriculados]],0)</f>
        <v>0</v>
      </c>
      <c r="J23" s="98"/>
      <c r="K23" s="98"/>
      <c r="L23" s="100"/>
      <c r="M23" s="101"/>
    </row>
    <row r="24" spans="1:13" ht="23.25" x14ac:dyDescent="0.25">
      <c r="A24" s="12">
        <v>22</v>
      </c>
      <c r="B24" s="96"/>
      <c r="C24" s="3">
        <f>'Controle adm. dos cursos'!B24</f>
        <v>0</v>
      </c>
      <c r="D24" s="81">
        <f>'Controle adm. dos cursos'!C24</f>
        <v>0</v>
      </c>
      <c r="E24" s="97"/>
      <c r="F24" s="98"/>
      <c r="G24" s="98"/>
      <c r="H24" s="98"/>
      <c r="I24" s="99">
        <f>IFERROR((Tabela3[[#This Row],[Aprovados]]*100)/Tabela3[[#This Row],[Matriculados]],0)</f>
        <v>0</v>
      </c>
      <c r="J24" s="98"/>
      <c r="K24" s="98"/>
      <c r="L24" s="100"/>
      <c r="M24" s="101"/>
    </row>
    <row r="25" spans="1:13" ht="23.25" x14ac:dyDescent="0.25">
      <c r="A25" s="12">
        <v>23</v>
      </c>
      <c r="B25" s="96"/>
      <c r="C25" s="3">
        <f>'Controle adm. dos cursos'!B25</f>
        <v>0</v>
      </c>
      <c r="D25" s="81">
        <f>'Controle adm. dos cursos'!C25</f>
        <v>0</v>
      </c>
      <c r="E25" s="97"/>
      <c r="F25" s="98"/>
      <c r="G25" s="98"/>
      <c r="H25" s="98"/>
      <c r="I25" s="99">
        <f>IFERROR((Tabela3[[#This Row],[Aprovados]]*100)/Tabela3[[#This Row],[Matriculados]],0)</f>
        <v>0</v>
      </c>
      <c r="J25" s="98"/>
      <c r="K25" s="98"/>
      <c r="L25" s="100"/>
      <c r="M25" s="101"/>
    </row>
    <row r="26" spans="1:13" ht="23.25" x14ac:dyDescent="0.25">
      <c r="A26" s="12">
        <v>24</v>
      </c>
      <c r="B26" s="96"/>
      <c r="C26" s="3">
        <f>'Controle adm. dos cursos'!B26</f>
        <v>0</v>
      </c>
      <c r="D26" s="81">
        <f>'Controle adm. dos cursos'!C26</f>
        <v>0</v>
      </c>
      <c r="E26" s="97"/>
      <c r="F26" s="98"/>
      <c r="G26" s="98"/>
      <c r="H26" s="98"/>
      <c r="I26" s="99">
        <f>IFERROR((Tabela3[[#This Row],[Aprovados]]*100)/Tabela3[[#This Row],[Matriculados]],0)</f>
        <v>0</v>
      </c>
      <c r="J26" s="98"/>
      <c r="K26" s="98"/>
      <c r="L26" s="100"/>
      <c r="M26" s="101"/>
    </row>
    <row r="27" spans="1:13" ht="23.25" x14ac:dyDescent="0.25">
      <c r="A27" s="12">
        <v>25</v>
      </c>
      <c r="B27" s="96"/>
      <c r="C27" s="3">
        <f>'Controle adm. dos cursos'!B27</f>
        <v>0</v>
      </c>
      <c r="D27" s="81">
        <f>'Controle adm. dos cursos'!C27</f>
        <v>0</v>
      </c>
      <c r="E27" s="97"/>
      <c r="F27" s="98"/>
      <c r="G27" s="98"/>
      <c r="H27" s="98"/>
      <c r="I27" s="99">
        <f>IFERROR((Tabela3[[#This Row],[Aprovados]]*100)/Tabela3[[#This Row],[Matriculados]],0)</f>
        <v>0</v>
      </c>
      <c r="J27" s="98"/>
      <c r="K27" s="98"/>
      <c r="L27" s="100"/>
      <c r="M27" s="101"/>
    </row>
    <row r="28" spans="1:13" ht="23.25" x14ac:dyDescent="0.25">
      <c r="A28" s="12">
        <v>26</v>
      </c>
      <c r="B28" s="96"/>
      <c r="C28" s="3">
        <f>'Controle adm. dos cursos'!B28</f>
        <v>0</v>
      </c>
      <c r="D28" s="81">
        <f>'Controle adm. dos cursos'!C28</f>
        <v>0</v>
      </c>
      <c r="E28" s="97"/>
      <c r="F28" s="98"/>
      <c r="G28" s="98"/>
      <c r="H28" s="98"/>
      <c r="I28" s="99">
        <f>IFERROR((Tabela3[[#This Row],[Aprovados]]*100)/Tabela3[[#This Row],[Matriculados]],0)</f>
        <v>0</v>
      </c>
      <c r="J28" s="98"/>
      <c r="K28" s="98"/>
      <c r="L28" s="100"/>
      <c r="M28" s="101"/>
    </row>
    <row r="29" spans="1:13" ht="23.25" x14ac:dyDescent="0.25">
      <c r="A29" s="12">
        <v>27</v>
      </c>
      <c r="B29" s="96"/>
      <c r="C29" s="3">
        <f>'Controle adm. dos cursos'!B29</f>
        <v>0</v>
      </c>
      <c r="D29" s="81">
        <f>'Controle adm. dos cursos'!C29</f>
        <v>0</v>
      </c>
      <c r="E29" s="97"/>
      <c r="F29" s="98"/>
      <c r="G29" s="98"/>
      <c r="H29" s="98"/>
      <c r="I29" s="99">
        <f>IFERROR((Tabela3[[#This Row],[Aprovados]]*100)/Tabela3[[#This Row],[Matriculados]],0)</f>
        <v>0</v>
      </c>
      <c r="J29" s="98"/>
      <c r="K29" s="98"/>
      <c r="L29" s="100"/>
      <c r="M29" s="101"/>
    </row>
    <row r="30" spans="1:13" ht="23.25" x14ac:dyDescent="0.25">
      <c r="A30" s="12">
        <v>28</v>
      </c>
      <c r="B30" s="96"/>
      <c r="C30" s="3">
        <f>'Controle adm. dos cursos'!B30</f>
        <v>0</v>
      </c>
      <c r="D30" s="81">
        <f>'Controle adm. dos cursos'!C30</f>
        <v>0</v>
      </c>
      <c r="E30" s="97"/>
      <c r="F30" s="98"/>
      <c r="G30" s="98"/>
      <c r="H30" s="98"/>
      <c r="I30" s="99">
        <f>IFERROR((Tabela3[[#This Row],[Aprovados]]*100)/Tabela3[[#This Row],[Matriculados]],0)</f>
        <v>0</v>
      </c>
      <c r="J30" s="98"/>
      <c r="K30" s="98"/>
      <c r="L30" s="100"/>
      <c r="M30" s="101"/>
    </row>
  </sheetData>
  <dataConsolidate/>
  <conditionalFormatting sqref="I3:I18 C20:D30">
    <cfRule type="cellIs" dxfId="5" priority="2" operator="equal">
      <formula>0</formula>
    </cfRule>
  </conditionalFormatting>
  <conditionalFormatting sqref="C3:D18">
    <cfRule type="cellIs" dxfId="4" priority="1" operator="equal">
      <formula>0</formula>
    </cfRule>
  </conditionalFormatting>
  <dataValidations disablePrompts="1" count="1">
    <dataValidation type="list" allowBlank="1" showInputMessage="1" showErrorMessage="1" sqref="E3:E18">
      <formula1>"Presencial,Semipresencial,A Distância"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showGridLines="0" zoomScale="145" zoomScaleNormal="145" workbookViewId="0">
      <selection activeCell="G20" sqref="G20"/>
    </sheetView>
  </sheetViews>
  <sheetFormatPr defaultRowHeight="14.25" x14ac:dyDescent="0.25"/>
  <cols>
    <col min="1" max="1" width="35.42578125" style="50" bestFit="1" customWidth="1"/>
    <col min="2" max="2" width="11.5703125" style="36" customWidth="1"/>
    <col min="3" max="3" width="8.42578125" style="36" bestFit="1" customWidth="1"/>
    <col min="4" max="4" width="12.5703125" style="36" bestFit="1" customWidth="1"/>
    <col min="5" max="5" width="9.7109375" style="36" bestFit="1" customWidth="1"/>
    <col min="6" max="6" width="7.85546875" style="36" bestFit="1" customWidth="1"/>
    <col min="7" max="8" width="11.42578125" style="36" bestFit="1" customWidth="1"/>
    <col min="9" max="9" width="14.7109375" style="36" customWidth="1"/>
    <col min="10" max="10" width="12" style="36" customWidth="1"/>
    <col min="11" max="16384" width="9.140625" style="36"/>
  </cols>
  <sheetData>
    <row r="1" spans="1:10" ht="53.25" customHeight="1" thickBot="1" x14ac:dyDescent="0.3">
      <c r="A1" s="111" t="s">
        <v>39</v>
      </c>
      <c r="B1" s="112"/>
      <c r="C1" s="112"/>
      <c r="D1" s="112"/>
      <c r="E1" s="112"/>
      <c r="F1" s="112"/>
      <c r="G1" s="112"/>
      <c r="H1" s="112"/>
      <c r="I1" s="112"/>
      <c r="J1" s="113"/>
    </row>
    <row r="2" spans="1:10" ht="15.75" x14ac:dyDescent="0.25">
      <c r="A2" s="37"/>
      <c r="B2" s="114" t="s">
        <v>34</v>
      </c>
      <c r="C2" s="114" t="s">
        <v>26</v>
      </c>
      <c r="D2" s="114"/>
      <c r="E2" s="114"/>
      <c r="F2" s="114"/>
      <c r="G2" s="114"/>
      <c r="H2" s="114"/>
      <c r="I2" s="114"/>
      <c r="J2" s="115"/>
    </row>
    <row r="3" spans="1:10" ht="36.75" thickBot="1" x14ac:dyDescent="0.3">
      <c r="A3" s="38"/>
      <c r="B3" s="114"/>
      <c r="C3" s="57" t="s">
        <v>11</v>
      </c>
      <c r="D3" s="57" t="s">
        <v>12</v>
      </c>
      <c r="E3" s="57" t="s">
        <v>68</v>
      </c>
      <c r="F3" s="57" t="s">
        <v>37</v>
      </c>
      <c r="G3" s="57" t="s">
        <v>14</v>
      </c>
      <c r="H3" s="57" t="s">
        <v>15</v>
      </c>
      <c r="I3" s="57" t="s">
        <v>16</v>
      </c>
      <c r="J3" s="58" t="s">
        <v>17</v>
      </c>
    </row>
    <row r="4" spans="1:10" ht="16.5" thickBot="1" x14ac:dyDescent="0.3">
      <c r="A4" s="59" t="s">
        <v>23</v>
      </c>
      <c r="B4" s="56">
        <f>COUNT(Tabela2[Ano])</f>
        <v>17</v>
      </c>
      <c r="C4" s="56">
        <f>'Resumo dos cursos'!F1</f>
        <v>1436</v>
      </c>
      <c r="D4" s="56">
        <f>'Resumo dos cursos'!G1</f>
        <v>1411</v>
      </c>
      <c r="E4" s="56">
        <f>'Resumo dos cursos'!H1</f>
        <v>961</v>
      </c>
      <c r="F4" s="72">
        <f>((E4*100)/D4)</f>
        <v>68.107725017717925</v>
      </c>
      <c r="G4" s="56">
        <f>'Resumo dos cursos'!J1</f>
        <v>47</v>
      </c>
      <c r="H4" s="56">
        <f>'Resumo dos cursos'!K1</f>
        <v>106</v>
      </c>
      <c r="I4" s="56">
        <f>'Resumo dos cursos'!L1</f>
        <v>68</v>
      </c>
      <c r="J4" s="73">
        <f>'Resumo dos cursos'!M1</f>
        <v>229</v>
      </c>
    </row>
    <row r="5" spans="1:10" ht="15" x14ac:dyDescent="0.25">
      <c r="A5" s="53" t="s">
        <v>20</v>
      </c>
      <c r="B5" s="39">
        <f>COUNTIF(Tabela3[Modalidade de Ensino],"Presencial")</f>
        <v>0</v>
      </c>
      <c r="C5" s="94">
        <f>SUMIF('Resumo dos cursos'!$E$3:$E$30,"Presencial",'Resumo dos cursos'!F3:F30)</f>
        <v>0</v>
      </c>
      <c r="D5" s="94">
        <f>SUMIF('Resumo dos cursos'!$E$3:$E$30,"Presencial",'Resumo dos cursos'!G3:G30)</f>
        <v>0</v>
      </c>
      <c r="E5" s="94">
        <f>SUMIF('Resumo dos cursos'!$E$3:$E$30,"Presencial",'Resumo dos cursos'!H3:H30)</f>
        <v>0</v>
      </c>
      <c r="F5" s="40">
        <f t="shared" ref="F5:F11" si="0">IFERROR(((E5*100)/D5),0)</f>
        <v>0</v>
      </c>
      <c r="G5" s="94">
        <f>SUMIF('Resumo dos cursos'!$E$3:$E$30,"Presencial",'Resumo dos cursos'!J3:J30)</f>
        <v>0</v>
      </c>
      <c r="H5" s="94">
        <f>SUMIF('Resumo dos cursos'!$E$3:$E$30,"Presencial",'Resumo dos cursos'!K3:K30)</f>
        <v>0</v>
      </c>
      <c r="I5" s="94">
        <f>SUMIF('Resumo dos cursos'!$E$3:$E$30,"Presencial",'Resumo dos cursos'!L3:L30)</f>
        <v>0</v>
      </c>
      <c r="J5" s="95">
        <f>SUMIF('Resumo dos cursos'!$E$3:$E$30,"Presencial",'Resumo dos cursos'!M3:M30)</f>
        <v>0</v>
      </c>
    </row>
    <row r="6" spans="1:10" ht="15" x14ac:dyDescent="0.25">
      <c r="A6" s="54" t="s">
        <v>22</v>
      </c>
      <c r="B6" s="43">
        <f>COUNTIF(Tabela3[Modalidade de Ensino],"A Distância")</f>
        <v>16</v>
      </c>
      <c r="C6" s="92">
        <f>SUMIF('Resumo dos cursos'!$E$3:$E$30,"A Distância",'Resumo dos cursos'!F3:F30)</f>
        <v>1477</v>
      </c>
      <c r="D6" s="92">
        <f>SUMIF('Resumo dos cursos'!$E$3:$E$30,"A Distância",'Resumo dos cursos'!G3:G30)</f>
        <v>1452</v>
      </c>
      <c r="E6" s="92">
        <f>SUMIF('Resumo dos cursos'!$E$3:$E$30,"A Distância",'Resumo dos cursos'!H3:H30)</f>
        <v>961</v>
      </c>
      <c r="F6" s="40">
        <f t="shared" si="0"/>
        <v>66.184573002754817</v>
      </c>
      <c r="G6" s="92">
        <f>SUMIF('Resumo dos cursos'!$E$3:$E$30,"A Distância",'Resumo dos cursos'!J3:J30)</f>
        <v>47</v>
      </c>
      <c r="H6" s="92">
        <f>SUMIF('Resumo dos cursos'!$E$3:$E$30,"A Distância",'Resumo dos cursos'!K3:K30)</f>
        <v>106</v>
      </c>
      <c r="I6" s="92">
        <f>SUMIF('Resumo dos cursos'!$E$3:$E$30,"A Distância",'Resumo dos cursos'!L3:L30)</f>
        <v>68</v>
      </c>
      <c r="J6" s="93">
        <f>SUMIF('Resumo dos cursos'!$E$3:$E$30,"A Distância",'Resumo dos cursos'!M3:M30)</f>
        <v>229</v>
      </c>
    </row>
    <row r="7" spans="1:10" ht="15.75" thickBot="1" x14ac:dyDescent="0.3">
      <c r="A7" s="55" t="s">
        <v>21</v>
      </c>
      <c r="B7" s="46">
        <f>COUNTIF(Tabela3[Modalidade de Ensino],"Semipresencial")</f>
        <v>0</v>
      </c>
      <c r="C7" s="90">
        <f>SUMIF('Resumo dos cursos'!$E$3:$E$30,"Semipresencial",'Resumo dos cursos'!F3:F30)</f>
        <v>0</v>
      </c>
      <c r="D7" s="90">
        <f>SUMIF('Resumo dos cursos'!$E$3:$E$30,"Semipresencial",'Resumo dos cursos'!G3:G30)</f>
        <v>0</v>
      </c>
      <c r="E7" s="90">
        <f>SUMIF('Resumo dos cursos'!$E$3:$E$30,"Semipresencial",'Resumo dos cursos'!H3:H30)</f>
        <v>0</v>
      </c>
      <c r="F7" s="63">
        <f t="shared" si="0"/>
        <v>0</v>
      </c>
      <c r="G7" s="90">
        <f>SUMIF('Resumo dos cursos'!$E$3:$E$30,"Semipresencial",'Resumo dos cursos'!J3:J30)</f>
        <v>0</v>
      </c>
      <c r="H7" s="90">
        <f>SUMIF('Resumo dos cursos'!$E$3:$E$30,"Semipresencial",'Resumo dos cursos'!K3:K30)</f>
        <v>0</v>
      </c>
      <c r="I7" s="90">
        <f>SUMIF('Resumo dos cursos'!$E$3:$E$30,"Semipresencial",'Resumo dos cursos'!L3:L30)</f>
        <v>0</v>
      </c>
      <c r="J7" s="91">
        <f>SUMIF('Resumo dos cursos'!$E$3:$E$30,"Semipresencial",'Resumo dos cursos'!M3:M30)</f>
        <v>0</v>
      </c>
    </row>
    <row r="8" spans="1:10" x14ac:dyDescent="0.25">
      <c r="A8" s="60" t="s">
        <v>24</v>
      </c>
      <c r="B8" s="48">
        <f>COUNTIF(Tabela3[Ano],"2019")</f>
        <v>7</v>
      </c>
      <c r="C8" s="48">
        <f ca="1">SUMIF('Resumo dos cursos'!$D$3:$D$31,"2019",Tabela3[Inscritos])</f>
        <v>700</v>
      </c>
      <c r="D8" s="48">
        <f ca="1">SUMIF('Resumo dos cursos'!$D$3:$D$31,"2019",Tabela3[Matriculados])</f>
        <v>675</v>
      </c>
      <c r="E8" s="48">
        <f ca="1">SUMIF('Resumo dos cursos'!$D$3:$D$31,"2019",Tabela3[Aprovados])</f>
        <v>468</v>
      </c>
      <c r="F8" s="49">
        <f t="shared" ca="1" si="0"/>
        <v>69.333333333333329</v>
      </c>
      <c r="G8" s="48">
        <f ca="1">SUMIF('Resumo dos cursos'!$D$3:$D$31,"2019",Tabela3[Reprovados])</f>
        <v>29</v>
      </c>
      <c r="H8" s="48">
        <f ca="1">SUMIF('Resumo dos cursos'!$D$3:$D$31,"2019",Tabela3[Desistentes])</f>
        <v>22</v>
      </c>
      <c r="I8" s="48">
        <f ca="1">SUMIF('Resumo dos cursos'!$D$3:$D$31,"2019",Tabela3[Não responderam o 1º questionário])</f>
        <v>33</v>
      </c>
      <c r="J8" s="41">
        <f ca="1">SUMIF('Resumo dos cursos'!$D$3:$D$31,"2019",Tabela3[Nunca acessaram o curso])</f>
        <v>123</v>
      </c>
    </row>
    <row r="9" spans="1:10" x14ac:dyDescent="0.25">
      <c r="A9" s="54" t="s">
        <v>41</v>
      </c>
      <c r="B9" s="43">
        <f>COUNTIF(Tabela3[Ano],"2020")</f>
        <v>4</v>
      </c>
      <c r="C9" s="43">
        <f ca="1">SUMIF('Resumo dos cursos'!$D$3:$D$31,"2020",Tabela3[Inscritos])</f>
        <v>332</v>
      </c>
      <c r="D9" s="43">
        <f ca="1">SUMIF('Resumo dos cursos'!$D$3:$D$31,"2020",Tabela3[Matriculados])</f>
        <v>332</v>
      </c>
      <c r="E9" s="43">
        <f ca="1">SUMIF('Resumo dos cursos'!$D$3:$D$31,"2020",Tabela3[Aprovados])</f>
        <v>239</v>
      </c>
      <c r="F9" s="49">
        <f t="shared" ca="1" si="0"/>
        <v>71.98795180722891</v>
      </c>
      <c r="G9" s="43">
        <f ca="1">SUMIF('Resumo dos cursos'!$D$3:$D$31,"2020",Tabela3[Reprovados])</f>
        <v>7</v>
      </c>
      <c r="H9" s="43">
        <f ca="1">SUMIF('Resumo dos cursos'!$D$3:$D$31,"2020",Tabela3[Desistentes])</f>
        <v>9</v>
      </c>
      <c r="I9" s="43">
        <f ca="1">SUMIF('Resumo dos cursos'!$D$3:$D$31,"2020",Tabela3[Não responderam o 1º questionário])</f>
        <v>15</v>
      </c>
      <c r="J9" s="44">
        <f ca="1">SUMIF('Resumo dos cursos'!$D$3:$D$31,"2020",Tabela3[Nunca acessaram o curso])</f>
        <v>62</v>
      </c>
    </row>
    <row r="10" spans="1:10" x14ac:dyDescent="0.25">
      <c r="A10" s="54" t="s">
        <v>42</v>
      </c>
      <c r="B10" s="43">
        <f>COUNTIF(Tabela3[Ano],"2021")</f>
        <v>5</v>
      </c>
      <c r="C10" s="43">
        <f ca="1">SUMIF('Resumo dos cursos'!$D$3:$D$31,"2021",Tabela3[Inscritos])</f>
        <v>445</v>
      </c>
      <c r="D10" s="43">
        <f ca="1">SUMIF('Resumo dos cursos'!$D$3:$D$31,"2021",Tabela3[Matriculados])</f>
        <v>445</v>
      </c>
      <c r="E10" s="43">
        <f ca="1">SUMIF('Resumo dos cursos'!$D$3:$D$31,"2021",Tabela3[Aprovados])</f>
        <v>254</v>
      </c>
      <c r="F10" s="40">
        <f t="shared" ca="1" si="0"/>
        <v>57.078651685393261</v>
      </c>
      <c r="G10" s="43">
        <f ca="1">SUMIF('Resumo dos cursos'!$D$3:$D$31,"2021",Tabela3[Reprovados])</f>
        <v>11</v>
      </c>
      <c r="H10" s="43">
        <f ca="1">SUMIF('Resumo dos cursos'!$D$3:$D$31,"2021",Tabela3[Desistentes])</f>
        <v>75</v>
      </c>
      <c r="I10" s="43">
        <f ca="1">SUMIF('Resumo dos cursos'!$D$3:$D$31,"2021",Tabela3[Não responderam o 1º questionário])</f>
        <v>20</v>
      </c>
      <c r="J10" s="44">
        <f ca="1">SUMIF('Resumo dos cursos'!$D$3:$D$31,"2021",Tabela3[Nunca acessaram o curso])</f>
        <v>44</v>
      </c>
    </row>
    <row r="11" spans="1:10" ht="15" thickBot="1" x14ac:dyDescent="0.3">
      <c r="A11" s="55" t="s">
        <v>43</v>
      </c>
      <c r="B11" s="46">
        <f>COUNTIF(Tabela3[Ano],"2022")</f>
        <v>0</v>
      </c>
      <c r="C11" s="46">
        <f ca="1">SUMIF('Resumo dos cursos'!$D$3:$D$31,"2022",Tabela3[Inscritos])</f>
        <v>0</v>
      </c>
      <c r="D11" s="46">
        <f ca="1">SUMIF('Resumo dos cursos'!$D$3:$D$31,"2022",Tabela3[Matriculados])</f>
        <v>0</v>
      </c>
      <c r="E11" s="46">
        <f ca="1">SUMIF('Resumo dos cursos'!$D$3:$D$31,"2022",Tabela3[Aprovados])</f>
        <v>0</v>
      </c>
      <c r="F11" s="63">
        <f t="shared" ca="1" si="0"/>
        <v>0</v>
      </c>
      <c r="G11" s="46">
        <f ca="1">SUMIF('Resumo dos cursos'!$D$3:$D$31,"2022",Tabela3[Reprovados])</f>
        <v>0</v>
      </c>
      <c r="H11" s="46">
        <f ca="1">SUMIF('Resumo dos cursos'!$D$3:$D$31,"2022",Tabela3[Desistentes])</f>
        <v>0</v>
      </c>
      <c r="I11" s="46">
        <f ca="1">SUMIF('Resumo dos cursos'!$D$3:$D$31,"2022",Tabela3[Não responderam o 1º questionário])</f>
        <v>0</v>
      </c>
      <c r="J11" s="47">
        <f ca="1">SUMIF('Resumo dos cursos'!$D$3:$D$31,"2022",Tabela3[Nunca acessaram o curso])</f>
        <v>0</v>
      </c>
    </row>
    <row r="12" spans="1:10" ht="15" thickBot="1" x14ac:dyDescent="0.3"/>
    <row r="13" spans="1:10" ht="16.5" thickBot="1" x14ac:dyDescent="0.3">
      <c r="A13" s="111" t="s">
        <v>45</v>
      </c>
      <c r="B13" s="113"/>
    </row>
    <row r="14" spans="1:10" ht="15" x14ac:dyDescent="0.25">
      <c r="A14" s="61" t="s">
        <v>34</v>
      </c>
      <c r="B14" s="51">
        <f>SUM(B16:B28)</f>
        <v>16</v>
      </c>
    </row>
    <row r="15" spans="1:10" ht="15.75" thickBot="1" x14ac:dyDescent="0.3">
      <c r="A15" s="62" t="s">
        <v>25</v>
      </c>
      <c r="B15" s="52">
        <f>COUNT(B16:B28)</f>
        <v>7</v>
      </c>
    </row>
    <row r="16" spans="1:10" x14ac:dyDescent="0.25">
      <c r="A16" s="53" t="s">
        <v>35</v>
      </c>
      <c r="B16" s="41">
        <f>COUNTIF(Tabela3[Nome],"Fundamental")</f>
        <v>1</v>
      </c>
    </row>
    <row r="17" spans="1:2" x14ac:dyDescent="0.25">
      <c r="A17" s="54" t="s">
        <v>29</v>
      </c>
      <c r="B17" s="44">
        <f>COUNTIF(Tabela3[Nome],"REER")</f>
        <v>3</v>
      </c>
    </row>
    <row r="18" spans="1:2" x14ac:dyDescent="0.25">
      <c r="A18" s="54" t="s">
        <v>28</v>
      </c>
      <c r="B18" s="44">
        <f>COUNTIF(Tabela3[Nome],"SCI")</f>
        <v>6</v>
      </c>
    </row>
    <row r="19" spans="1:2" x14ac:dyDescent="0.25">
      <c r="A19" s="42" t="s">
        <v>67</v>
      </c>
      <c r="B19" s="44">
        <f>COUNTIF(Tabela3[Nome],"Emegências em Edificações")</f>
        <v>2</v>
      </c>
    </row>
    <row r="20" spans="1:2" x14ac:dyDescent="0.25">
      <c r="A20" s="86" t="s">
        <v>81</v>
      </c>
      <c r="B20" s="44">
        <f>COUNTIF(Tabela3[Nome],"PDC")</f>
        <v>1</v>
      </c>
    </row>
    <row r="21" spans="1:2" x14ac:dyDescent="0.25">
      <c r="A21" s="42" t="s">
        <v>84</v>
      </c>
      <c r="B21" s="44">
        <f>COUNTIF(Tabela3[Nome],"RD")</f>
        <v>1</v>
      </c>
    </row>
    <row r="22" spans="1:2" x14ac:dyDescent="0.25">
      <c r="A22" s="42" t="s">
        <v>92</v>
      </c>
      <c r="B22" s="44">
        <f>COUNTIF(Tabela3[Nome],"CFGM")</f>
        <v>2</v>
      </c>
    </row>
    <row r="23" spans="1:2" x14ac:dyDescent="0.25">
      <c r="A23" s="86"/>
      <c r="B23" s="87"/>
    </row>
    <row r="24" spans="1:2" x14ac:dyDescent="0.25">
      <c r="A24" s="42"/>
      <c r="B24" s="44"/>
    </row>
    <row r="25" spans="1:2" x14ac:dyDescent="0.25">
      <c r="A25" s="42"/>
      <c r="B25" s="44"/>
    </row>
    <row r="26" spans="1:2" x14ac:dyDescent="0.25">
      <c r="A26" s="42"/>
      <c r="B26" s="44"/>
    </row>
    <row r="27" spans="1:2" x14ac:dyDescent="0.25">
      <c r="A27" s="42"/>
      <c r="B27" s="44"/>
    </row>
    <row r="28" spans="1:2" ht="15" thickBot="1" x14ac:dyDescent="0.3">
      <c r="A28" s="45"/>
      <c r="B28" s="47"/>
    </row>
    <row r="29" spans="1:2" x14ac:dyDescent="0.25">
      <c r="A29" s="36"/>
    </row>
    <row r="30" spans="1:2" x14ac:dyDescent="0.25">
      <c r="A30" s="36"/>
    </row>
  </sheetData>
  <sheetProtection algorithmName="SHA-512" hashValue="3PXQ0c/thl2brqpgbfuRYbXu/KqaXXTVQ3PBcV5Yi5L1pcBRWu+mVcS6kas2mBqBJE6Rb0ec88crV77E8hSkkQ==" saltValue="K5zBNZhAwtUbhWW50wAbXg==" spinCount="100000" sheet="1" objects="1" scenarios="1"/>
  <mergeCells count="4">
    <mergeCell ref="A1:J1"/>
    <mergeCell ref="C2:J2"/>
    <mergeCell ref="B2:B3"/>
    <mergeCell ref="A13:B13"/>
  </mergeCells>
  <conditionalFormatting sqref="F5:F11">
    <cfRule type="cellIs" dxfId="3" priority="1" operator="equal">
      <formula>0</formula>
    </cfRule>
    <cfRule type="cellIs" priority="2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landscape" r:id="rId1"/>
  <ignoredErrors>
    <ignoredError sqref="C9:E9 G9:J9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showGridLines="0" zoomScale="145" zoomScaleNormal="145" workbookViewId="0">
      <selection activeCell="N8" sqref="N8"/>
    </sheetView>
  </sheetViews>
  <sheetFormatPr defaultRowHeight="14.25" x14ac:dyDescent="0.25"/>
  <cols>
    <col min="1" max="1" width="35.42578125" style="50" bestFit="1" customWidth="1"/>
    <col min="2" max="2" width="11.5703125" style="36" customWidth="1"/>
    <col min="3" max="3" width="8.42578125" style="36" bestFit="1" customWidth="1"/>
    <col min="4" max="4" width="12.5703125" style="36" bestFit="1" customWidth="1"/>
    <col min="5" max="5" width="9.7109375" style="36" bestFit="1" customWidth="1"/>
    <col min="6" max="6" width="7.85546875" style="76" bestFit="1" customWidth="1"/>
    <col min="7" max="8" width="11.42578125" style="36" bestFit="1" customWidth="1"/>
    <col min="9" max="9" width="14.7109375" style="36" customWidth="1"/>
    <col min="10" max="10" width="12" style="36" customWidth="1"/>
    <col min="11" max="16384" width="9.140625" style="36"/>
  </cols>
  <sheetData>
    <row r="1" spans="1:12" ht="53.25" customHeight="1" thickBot="1" x14ac:dyDescent="0.3">
      <c r="A1" s="111" t="s">
        <v>64</v>
      </c>
      <c r="B1" s="112"/>
      <c r="C1" s="112"/>
      <c r="D1" s="112"/>
      <c r="E1" s="112"/>
      <c r="F1" s="112"/>
      <c r="G1" s="112"/>
      <c r="H1" s="112"/>
      <c r="I1" s="112"/>
      <c r="J1" s="113"/>
    </row>
    <row r="2" spans="1:12" ht="15.75" x14ac:dyDescent="0.25">
      <c r="A2" s="37"/>
      <c r="B2" s="114" t="s">
        <v>34</v>
      </c>
      <c r="C2" s="114" t="s">
        <v>26</v>
      </c>
      <c r="D2" s="114"/>
      <c r="E2" s="114"/>
      <c r="F2" s="114"/>
      <c r="G2" s="114"/>
      <c r="H2" s="114"/>
      <c r="I2" s="114"/>
      <c r="J2" s="115"/>
    </row>
    <row r="3" spans="1:12" ht="36.75" thickBot="1" x14ac:dyDescent="0.3">
      <c r="A3" s="38"/>
      <c r="B3" s="114"/>
      <c r="C3" s="57" t="s">
        <v>11</v>
      </c>
      <c r="D3" s="57" t="s">
        <v>12</v>
      </c>
      <c r="E3" s="57" t="s">
        <v>68</v>
      </c>
      <c r="F3" s="78" t="s">
        <v>37</v>
      </c>
      <c r="G3" s="57" t="s">
        <v>14</v>
      </c>
      <c r="H3" s="57" t="s">
        <v>15</v>
      </c>
      <c r="I3" s="57" t="s">
        <v>16</v>
      </c>
      <c r="J3" s="58" t="s">
        <v>17</v>
      </c>
    </row>
    <row r="4" spans="1:12" ht="16.5" thickBot="1" x14ac:dyDescent="0.3">
      <c r="A4" s="59" t="s">
        <v>23</v>
      </c>
      <c r="B4" s="56">
        <f>COUNTIF(Tabela3[Ano],"2019")</f>
        <v>7</v>
      </c>
      <c r="C4" s="56">
        <f t="shared" ref="C4:J4" si="0">SUM(C5:C7)</f>
        <v>700</v>
      </c>
      <c r="D4" s="56">
        <f t="shared" si="0"/>
        <v>675</v>
      </c>
      <c r="E4" s="56">
        <f t="shared" si="0"/>
        <v>468</v>
      </c>
      <c r="F4" s="72">
        <f t="shared" si="0"/>
        <v>69.333333333333329</v>
      </c>
      <c r="G4" s="56">
        <f t="shared" si="0"/>
        <v>29</v>
      </c>
      <c r="H4" s="56">
        <f t="shared" si="0"/>
        <v>22</v>
      </c>
      <c r="I4" s="56">
        <f t="shared" si="0"/>
        <v>33</v>
      </c>
      <c r="J4" s="73">
        <f t="shared" si="0"/>
        <v>123</v>
      </c>
      <c r="L4" s="69"/>
    </row>
    <row r="5" spans="1:12" x14ac:dyDescent="0.25">
      <c r="A5" s="53" t="s">
        <v>20</v>
      </c>
      <c r="B5" s="39">
        <f>COUNTIFS(Tabela3[Ano],"2019",Tabela3[Modalidade de Ensino],"Presencial")</f>
        <v>0</v>
      </c>
      <c r="C5" s="39">
        <f>SUMIFS(Tabela3[Inscritos],Tabela3[Ano],"2019",Tabela3[Modalidade de Ensino],"Presencial")</f>
        <v>0</v>
      </c>
      <c r="D5" s="39">
        <f>SUMIFS(Tabela3[Matriculados],Tabela3[Ano],"2019",Tabela3[Modalidade de Ensino],"Presencial")</f>
        <v>0</v>
      </c>
      <c r="E5" s="39">
        <f>SUMIFS(Tabela3[Aprovados],Tabela3[Ano],"2019",Tabela3[Modalidade de Ensino],"Presencial")</f>
        <v>0</v>
      </c>
      <c r="F5" s="79">
        <f>IFERROR(((E5*100)/D5),0)</f>
        <v>0</v>
      </c>
      <c r="G5" s="39">
        <f>SUMIFS(Tabela3[Reprovados],Tabela3[Ano],"2019",Tabela3[Modalidade de Ensino],"Presencial")</f>
        <v>0</v>
      </c>
      <c r="H5" s="39">
        <f>SUMIFS(Tabela3[Desistentes],Tabela3[Ano],"2019",Tabela3[Modalidade de Ensino],"Presencial")</f>
        <v>0</v>
      </c>
      <c r="I5" s="39">
        <f>SUMIFS(Tabela3[Não responderam o 1º questionário],Tabela3[Ano],"2019",Tabela3[Modalidade de Ensino],"Presencial")</f>
        <v>0</v>
      </c>
      <c r="J5" s="41">
        <f>SUMIFS(Tabela3[Nunca acessaram o curso],Tabela3[Ano],"2019",Tabela3[Modalidade de Ensino],"Presencial")</f>
        <v>0</v>
      </c>
    </row>
    <row r="6" spans="1:12" x14ac:dyDescent="0.25">
      <c r="A6" s="54" t="s">
        <v>22</v>
      </c>
      <c r="B6" s="43">
        <f>COUNTIFS(Tabela3[Ano],"2019",Tabela3[Modalidade de Ensino],"A Distância")</f>
        <v>7</v>
      </c>
      <c r="C6" s="43">
        <f>SUMIFS(Tabela3[Inscritos],Tabela3[Ano],"2019",Tabela3[Modalidade de Ensino],"A Distância")</f>
        <v>700</v>
      </c>
      <c r="D6" s="43">
        <f>SUMIFS(Tabela3[Matriculados],Tabela3[Ano],"2019",Tabela3[Modalidade de Ensino],"A Distância")</f>
        <v>675</v>
      </c>
      <c r="E6" s="43">
        <f>SUMIFS(Tabela3[Aprovados],Tabela3[Ano],"2019",Tabela3[Modalidade de Ensino],"A Distância")</f>
        <v>468</v>
      </c>
      <c r="F6" s="40">
        <f t="shared" ref="F6:F13" si="1">IFERROR(((E6*100)/D6),0)</f>
        <v>69.333333333333329</v>
      </c>
      <c r="G6" s="43">
        <f>SUMIFS(Tabela3[Reprovados],Tabela3[Ano],"2019",Tabela3[Modalidade de Ensino],"A Distância")</f>
        <v>29</v>
      </c>
      <c r="H6" s="43">
        <f>SUMIFS(Tabela3[Desistentes],Tabela3[Ano],"2019",Tabela3[Modalidade de Ensino],"A Distância")</f>
        <v>22</v>
      </c>
      <c r="I6" s="43">
        <f>SUMIFS(Tabela3[Não responderam o 1º questionário],Tabela3[Ano],"2019",Tabela3[Modalidade de Ensino],"A Distância")</f>
        <v>33</v>
      </c>
      <c r="J6" s="44">
        <f>SUMIFS(Tabela3[Nunca acessaram o curso],Tabela3[Ano],"2019",Tabela3[Modalidade de Ensino],"A Distância")</f>
        <v>123</v>
      </c>
    </row>
    <row r="7" spans="1:12" ht="15" thickBot="1" x14ac:dyDescent="0.3">
      <c r="A7" s="55" t="s">
        <v>21</v>
      </c>
      <c r="B7" s="46">
        <f>COUNTIFS(Tabela3[Ano],"2019",Tabela3[Modalidade de Ensino],"Semipresencial")</f>
        <v>0</v>
      </c>
      <c r="C7" s="46">
        <f>SUMIFS(Tabela3[Inscritos],Tabela3[Ano],"2019",Tabela3[Modalidade de Ensino],"Semipresencial")</f>
        <v>0</v>
      </c>
      <c r="D7" s="46">
        <f>SUMIFS(Tabela3[Matriculados],Tabela3[Ano],"2019",Tabela3[Modalidade de Ensino],"Semipresencial")</f>
        <v>0</v>
      </c>
      <c r="E7" s="46">
        <f>SUMIFS(Tabela3[Aprovados],Tabela3[Ano],"2019",Tabela3[Modalidade de Ensino],"Semipresencial")</f>
        <v>0</v>
      </c>
      <c r="F7" s="49">
        <f t="shared" si="1"/>
        <v>0</v>
      </c>
      <c r="G7" s="46">
        <f>SUMIFS(Tabela3[Reprovados],Tabela3[Ano],"2019",Tabela3[Modalidade de Ensino],"Semipresencial")</f>
        <v>0</v>
      </c>
      <c r="H7" s="46">
        <f>SUMIFS(Tabela3[Desistentes],Tabela3[Ano],"2019",Tabela3[Modalidade de Ensino],"Semipresencial")</f>
        <v>0</v>
      </c>
      <c r="I7" s="46">
        <f>SUMIFS(Tabela3[Não responderam o 1º questionário],Tabela3[Ano],"2019",Tabela3[Modalidade de Ensino],"Semipresencial")</f>
        <v>0</v>
      </c>
      <c r="J7" s="47">
        <f>SUMIFS(Tabela3[Nunca acessaram o curso],Tabela3[Ano],"2019",Tabela3[Modalidade de Ensino],"Semipresencial")</f>
        <v>0</v>
      </c>
    </row>
    <row r="8" spans="1:12" ht="25.5" x14ac:dyDescent="0.25">
      <c r="A8" s="53" t="str">
        <f>IF('Controle adm. dos cursos'!C3=2019,'Controle adm. dos cursos'!B3," ")</f>
        <v>Conhecimentos Fundamentais em Proteção e Defesa Civil - DPDC</v>
      </c>
      <c r="B8" s="74"/>
      <c r="C8" s="75">
        <f>'Resumo dos cursos'!F3</f>
        <v>42</v>
      </c>
      <c r="D8" s="75">
        <f>'Resumo dos cursos'!G3</f>
        <v>17</v>
      </c>
      <c r="E8" s="75">
        <f>'Resumo dos cursos'!H3</f>
        <v>16</v>
      </c>
      <c r="F8" s="79">
        <f t="shared" si="1"/>
        <v>94.117647058823536</v>
      </c>
      <c r="G8" s="75">
        <f>'Resumo dos cursos'!J3</f>
        <v>1</v>
      </c>
      <c r="H8" s="75">
        <f>'Resumo dos cursos'!K3</f>
        <v>0</v>
      </c>
      <c r="I8" s="75">
        <f>'Resumo dos cursos'!L3</f>
        <v>0</v>
      </c>
      <c r="J8" s="77">
        <f>'Resumo dos cursos'!M3</f>
        <v>0</v>
      </c>
    </row>
    <row r="9" spans="1:12" ht="47.25" customHeight="1" x14ac:dyDescent="0.25">
      <c r="A9" s="54" t="str">
        <f>IF('Controle adm. dos cursos'!C4=2019,'Controle adm. dos cursos'!B4," ")</f>
        <v>Conhecimentos Básicos para Integrantes da Rede Estadual de Emergência de Radioamadores - REER - Turma 2019</v>
      </c>
      <c r="B9" s="43"/>
      <c r="C9" s="43">
        <f>'Resumo dos cursos'!F4</f>
        <v>137</v>
      </c>
      <c r="D9" s="43">
        <f>'Resumo dos cursos'!G4</f>
        <v>137</v>
      </c>
      <c r="E9" s="43">
        <f>'Resumo dos cursos'!H4</f>
        <v>99</v>
      </c>
      <c r="F9" s="40">
        <f t="shared" si="1"/>
        <v>72.262773722627742</v>
      </c>
      <c r="G9" s="43">
        <f>'Resumo dos cursos'!J4</f>
        <v>10</v>
      </c>
      <c r="H9" s="43">
        <f>'Resumo dos cursos'!K4</f>
        <v>1</v>
      </c>
      <c r="I9" s="43">
        <f>'Resumo dos cursos'!L4</f>
        <v>1</v>
      </c>
      <c r="J9" s="44">
        <f>'Resumo dos cursos'!M4</f>
        <v>26</v>
      </c>
    </row>
    <row r="10" spans="1:12" ht="24" customHeight="1" x14ac:dyDescent="0.25">
      <c r="A10" s="70" t="str">
        <f>IF('Controle adm. dos cursos'!C5=2019,'Controle adm. dos cursos'!B5," ")</f>
        <v>SCI - Sistema de Comando de Incidentes</v>
      </c>
      <c r="B10" s="43"/>
      <c r="C10" s="43">
        <f>'Resumo dos cursos'!F5</f>
        <v>22</v>
      </c>
      <c r="D10" s="43">
        <f>'Resumo dos cursos'!G5</f>
        <v>22</v>
      </c>
      <c r="E10" s="43">
        <f>'Resumo dos cursos'!H5</f>
        <v>9</v>
      </c>
      <c r="F10" s="40">
        <f t="shared" si="1"/>
        <v>40.909090909090907</v>
      </c>
      <c r="G10" s="43">
        <f>'Resumo dos cursos'!J5</f>
        <v>2</v>
      </c>
      <c r="H10" s="43">
        <f>'Resumo dos cursos'!K5</f>
        <v>6</v>
      </c>
      <c r="I10" s="43">
        <f>'Resumo dos cursos'!L5</f>
        <v>3</v>
      </c>
      <c r="J10" s="44">
        <f>'Resumo dos cursos'!M5</f>
        <v>2</v>
      </c>
    </row>
    <row r="11" spans="1:12" ht="25.5" x14ac:dyDescent="0.25">
      <c r="A11" s="70" t="str">
        <f>IF('Controle adm. dos cursos'!C6=2019,'Controle adm. dos cursos'!B6," ")</f>
        <v>SCI - Sistema de Comando de Incidentes - Turma ADAPAR</v>
      </c>
      <c r="B11" s="43"/>
      <c r="C11" s="43">
        <f>'Resumo dos cursos'!F6</f>
        <v>27</v>
      </c>
      <c r="D11" s="43">
        <f>'Resumo dos cursos'!G6</f>
        <v>27</v>
      </c>
      <c r="E11" s="43">
        <f>'Resumo dos cursos'!H6</f>
        <v>25</v>
      </c>
      <c r="F11" s="40">
        <f t="shared" si="1"/>
        <v>92.592592592592595</v>
      </c>
      <c r="G11" s="43">
        <f>'Resumo dos cursos'!J6</f>
        <v>0</v>
      </c>
      <c r="H11" s="43">
        <f>'Resumo dos cursos'!K6</f>
        <v>0</v>
      </c>
      <c r="I11" s="43">
        <f>'Resumo dos cursos'!L6</f>
        <v>0</v>
      </c>
      <c r="J11" s="44">
        <f>'Resumo dos cursos'!M6</f>
        <v>2</v>
      </c>
    </row>
    <row r="12" spans="1:12" ht="24" customHeight="1" x14ac:dyDescent="0.25">
      <c r="A12" s="70" t="str">
        <f>IF('Controle adm. dos cursos'!C7=2019,'Controle adm. dos cursos'!B7," ")</f>
        <v>SCI - Sistema de Comando de Incidentes - Turma II ADAPAR</v>
      </c>
      <c r="B12" s="71"/>
      <c r="C12" s="43">
        <f>'Resumo dos cursos'!F7</f>
        <v>98</v>
      </c>
      <c r="D12" s="43">
        <f>'Resumo dos cursos'!G7</f>
        <v>98</v>
      </c>
      <c r="E12" s="43">
        <f>'Resumo dos cursos'!H7</f>
        <v>57</v>
      </c>
      <c r="F12" s="40">
        <f t="shared" si="1"/>
        <v>58.163265306122447</v>
      </c>
      <c r="G12" s="43">
        <f>'Resumo dos cursos'!J7</f>
        <v>1</v>
      </c>
      <c r="H12" s="43">
        <f>'Resumo dos cursos'!K7</f>
        <v>5</v>
      </c>
      <c r="I12" s="43">
        <f>'Resumo dos cursos'!L7</f>
        <v>14</v>
      </c>
      <c r="J12" s="44">
        <f>'Resumo dos cursos'!M7</f>
        <v>21</v>
      </c>
    </row>
    <row r="13" spans="1:12" ht="24" customHeight="1" x14ac:dyDescent="0.25">
      <c r="A13" s="70" t="str">
        <f>IF('Controle adm. dos cursos'!C8=2019,'Controle adm. dos cursos'!B8," ")</f>
        <v>Atendimento de Emergências em Edificações - Turma CELEPAR</v>
      </c>
      <c r="B13" s="71"/>
      <c r="C13" s="43">
        <f>'Resumo dos cursos'!F8</f>
        <v>97</v>
      </c>
      <c r="D13" s="43">
        <f>'Resumo dos cursos'!G8</f>
        <v>97</v>
      </c>
      <c r="E13" s="43">
        <f>'Resumo dos cursos'!H8</f>
        <v>72</v>
      </c>
      <c r="F13" s="40">
        <f t="shared" si="1"/>
        <v>74.226804123711347</v>
      </c>
      <c r="G13" s="43">
        <f>'Resumo dos cursos'!J8</f>
        <v>8</v>
      </c>
      <c r="H13" s="43">
        <f>'Resumo dos cursos'!K8</f>
        <v>2</v>
      </c>
      <c r="I13" s="43">
        <f>'Resumo dos cursos'!L8</f>
        <v>4</v>
      </c>
      <c r="J13" s="44">
        <f>'Resumo dos cursos'!M8</f>
        <v>11</v>
      </c>
    </row>
    <row r="14" spans="1:12" ht="26.25" thickBot="1" x14ac:dyDescent="0.3">
      <c r="A14" s="55" t="str">
        <f>IF('Controle adm. dos cursos'!C9=2019,'Controle adm. dos cursos'!B9," ")</f>
        <v>Atendimento de Emergências em Edificações - Turma UEM</v>
      </c>
      <c r="B14" s="84"/>
      <c r="C14" s="46">
        <f>'Resumo dos cursos'!F9</f>
        <v>277</v>
      </c>
      <c r="D14" s="46">
        <f>'Resumo dos cursos'!G9</f>
        <v>277</v>
      </c>
      <c r="E14" s="46">
        <f>'Resumo dos cursos'!H9</f>
        <v>190</v>
      </c>
      <c r="F14" s="85">
        <f>IFERROR(((E14*100)/D14),0)</f>
        <v>68.592057761732846</v>
      </c>
      <c r="G14" s="46">
        <f>'Resumo dos cursos'!J9</f>
        <v>7</v>
      </c>
      <c r="H14" s="46">
        <f>'Resumo dos cursos'!K9</f>
        <v>8</v>
      </c>
      <c r="I14" s="46">
        <f>'Resumo dos cursos'!L9</f>
        <v>11</v>
      </c>
      <c r="J14" s="47">
        <f>'Resumo dos cursos'!M9</f>
        <v>61</v>
      </c>
    </row>
    <row r="15" spans="1:12" x14ac:dyDescent="0.25">
      <c r="A15" s="36"/>
    </row>
    <row r="16" spans="1:12" x14ac:dyDescent="0.25">
      <c r="A16" s="36"/>
    </row>
    <row r="17" spans="1:1" x14ac:dyDescent="0.25">
      <c r="A17" s="36"/>
    </row>
    <row r="18" spans="1:1" x14ac:dyDescent="0.25">
      <c r="A18" s="36"/>
    </row>
    <row r="19" spans="1:1" x14ac:dyDescent="0.25">
      <c r="A19" s="36"/>
    </row>
    <row r="20" spans="1:1" x14ac:dyDescent="0.25">
      <c r="A20" s="36"/>
    </row>
    <row r="21" spans="1:1" x14ac:dyDescent="0.25">
      <c r="A21" s="36"/>
    </row>
    <row r="22" spans="1:1" x14ac:dyDescent="0.25">
      <c r="A22" s="36"/>
    </row>
    <row r="23" spans="1:1" x14ac:dyDescent="0.25">
      <c r="A23" s="36"/>
    </row>
    <row r="24" spans="1:1" x14ac:dyDescent="0.25">
      <c r="A24" s="36"/>
    </row>
  </sheetData>
  <sheetProtection algorithmName="SHA-512" hashValue="tNSrSF3V+ln3ivQOdnlKWwB469b3rr3uLfa7b7chSAdcDba87IhbLJziwc9TT22Qb1SpvtYifvlsb5K0cUX0WQ==" saltValue="NtIq1HRUOxx3cPZk2tALPw==" spinCount="100000" sheet="1" objects="1" scenarios="1"/>
  <mergeCells count="3">
    <mergeCell ref="A1:J1"/>
    <mergeCell ref="B2:B3"/>
    <mergeCell ref="C2:J2"/>
  </mergeCells>
  <conditionalFormatting sqref="F5:F14">
    <cfRule type="cellIs" dxfId="2" priority="1" operator="equal">
      <formula>0</formula>
    </cfRule>
    <cfRule type="cellIs" priority="2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showGridLines="0" zoomScale="145" zoomScaleNormal="145" workbookViewId="0">
      <selection activeCell="L5" sqref="L5"/>
    </sheetView>
  </sheetViews>
  <sheetFormatPr defaultRowHeight="14.25" x14ac:dyDescent="0.25"/>
  <cols>
    <col min="1" max="1" width="35.42578125" style="50" bestFit="1" customWidth="1"/>
    <col min="2" max="2" width="11.5703125" style="36" customWidth="1"/>
    <col min="3" max="3" width="8.42578125" style="36" bestFit="1" customWidth="1"/>
    <col min="4" max="4" width="12.5703125" style="36" bestFit="1" customWidth="1"/>
    <col min="5" max="5" width="9.7109375" style="36" bestFit="1" customWidth="1"/>
    <col min="6" max="6" width="7.85546875" style="76" bestFit="1" customWidth="1"/>
    <col min="7" max="8" width="11.42578125" style="36" bestFit="1" customWidth="1"/>
    <col min="9" max="9" width="14.7109375" style="36" customWidth="1"/>
    <col min="10" max="10" width="12" style="36" customWidth="1"/>
    <col min="11" max="16384" width="9.140625" style="36"/>
  </cols>
  <sheetData>
    <row r="1" spans="1:12" ht="53.25" customHeight="1" thickBot="1" x14ac:dyDescent="0.3">
      <c r="A1" s="111" t="s">
        <v>77</v>
      </c>
      <c r="B1" s="112"/>
      <c r="C1" s="112"/>
      <c r="D1" s="112"/>
      <c r="E1" s="112"/>
      <c r="F1" s="112"/>
      <c r="G1" s="112"/>
      <c r="H1" s="112"/>
      <c r="I1" s="112"/>
      <c r="J1" s="113"/>
    </row>
    <row r="2" spans="1:12" ht="15.75" x14ac:dyDescent="0.25">
      <c r="A2" s="37"/>
      <c r="B2" s="114" t="s">
        <v>34</v>
      </c>
      <c r="C2" s="114" t="s">
        <v>26</v>
      </c>
      <c r="D2" s="114"/>
      <c r="E2" s="114"/>
      <c r="F2" s="114"/>
      <c r="G2" s="114"/>
      <c r="H2" s="114"/>
      <c r="I2" s="114"/>
      <c r="J2" s="115"/>
    </row>
    <row r="3" spans="1:12" ht="36.75" thickBot="1" x14ac:dyDescent="0.3">
      <c r="A3" s="38"/>
      <c r="B3" s="114"/>
      <c r="C3" s="57" t="s">
        <v>11</v>
      </c>
      <c r="D3" s="57" t="s">
        <v>12</v>
      </c>
      <c r="E3" s="57" t="s">
        <v>68</v>
      </c>
      <c r="F3" s="78" t="s">
        <v>37</v>
      </c>
      <c r="G3" s="57" t="s">
        <v>14</v>
      </c>
      <c r="H3" s="57" t="s">
        <v>15</v>
      </c>
      <c r="I3" s="57" t="s">
        <v>16</v>
      </c>
      <c r="J3" s="58" t="s">
        <v>17</v>
      </c>
    </row>
    <row r="4" spans="1:12" ht="16.5" thickBot="1" x14ac:dyDescent="0.3">
      <c r="A4" s="59" t="s">
        <v>23</v>
      </c>
      <c r="B4" s="56">
        <f>COUNTIF(Tabela3[Ano],"2020")</f>
        <v>4</v>
      </c>
      <c r="C4" s="56">
        <f>SUM(C5:C7)</f>
        <v>332</v>
      </c>
      <c r="D4" s="56">
        <f t="shared" ref="D4:J4" si="0">SUM(D5:D7)</f>
        <v>332</v>
      </c>
      <c r="E4" s="56">
        <f t="shared" si="0"/>
        <v>239</v>
      </c>
      <c r="F4" s="72">
        <f t="shared" si="0"/>
        <v>71.98795180722891</v>
      </c>
      <c r="G4" s="56">
        <f t="shared" si="0"/>
        <v>7</v>
      </c>
      <c r="H4" s="56">
        <f t="shared" si="0"/>
        <v>9</v>
      </c>
      <c r="I4" s="56">
        <f t="shared" si="0"/>
        <v>15</v>
      </c>
      <c r="J4" s="73">
        <f t="shared" si="0"/>
        <v>62</v>
      </c>
      <c r="L4" s="69"/>
    </row>
    <row r="5" spans="1:12" x14ac:dyDescent="0.25">
      <c r="A5" s="53" t="s">
        <v>20</v>
      </c>
      <c r="B5" s="39">
        <f>COUNTIFS(Tabela3[Ano],"2020",Tabela3[Modalidade de Ensino],"Presencial")</f>
        <v>0</v>
      </c>
      <c r="C5" s="39">
        <f>SUMIFS(Tabela3[Inscritos],Tabela3[Ano],"2020",Tabela3[Modalidade de Ensino],"Presencial")</f>
        <v>0</v>
      </c>
      <c r="D5" s="39">
        <f>SUMIFS(Tabela3[Matriculados],Tabela3[Ano],"2020",Tabela3[Modalidade de Ensino],"Presencial")</f>
        <v>0</v>
      </c>
      <c r="E5" s="39">
        <f>SUMIFS(Tabela3[Aprovados],Tabela3[Ano],"2020",Tabela3[Modalidade de Ensino],"Presencial")</f>
        <v>0</v>
      </c>
      <c r="F5" s="79">
        <f>IFERROR(((E5*100)/D5),0)</f>
        <v>0</v>
      </c>
      <c r="G5" s="39">
        <f>SUMIFS(Tabela3[Reprovados],Tabela3[Ano],"2020",Tabela3[Modalidade de Ensino],"Presencial")</f>
        <v>0</v>
      </c>
      <c r="H5" s="39">
        <f>SUMIFS(Tabela3[Desistentes],Tabela3[Ano],"2020",Tabela3[Modalidade de Ensino],"Presencial")</f>
        <v>0</v>
      </c>
      <c r="I5" s="39">
        <f>SUMIFS(Tabela3[Não responderam o 1º questionário],Tabela3[Ano],"2020",Tabela3[Modalidade de Ensino],"Presencial")</f>
        <v>0</v>
      </c>
      <c r="J5" s="41">
        <f>SUMIFS(Tabela3[Nunca acessaram o curso],Tabela3[Ano],"2020",Tabela3[Modalidade de Ensino],"Presencial")</f>
        <v>0</v>
      </c>
    </row>
    <row r="6" spans="1:12" x14ac:dyDescent="0.25">
      <c r="A6" s="54" t="s">
        <v>22</v>
      </c>
      <c r="B6" s="43">
        <f>COUNTIFS(Tabela3[Ano],"2020",Tabela3[Modalidade de Ensino],"A Distância")</f>
        <v>4</v>
      </c>
      <c r="C6" s="43">
        <f>SUMIFS(Tabela3[Inscritos],Tabela3[Ano],"2020",Tabela3[Modalidade de Ensino],"A Distância")</f>
        <v>332</v>
      </c>
      <c r="D6" s="43">
        <f>SUMIFS(Tabela3[Matriculados],Tabela3[Ano],"2020",Tabela3[Modalidade de Ensino],"A Distância")</f>
        <v>332</v>
      </c>
      <c r="E6" s="43">
        <f>SUMIFS(Tabela3[Aprovados],Tabela3[Ano],"2020",Tabela3[Modalidade de Ensino],"A Distância")</f>
        <v>239</v>
      </c>
      <c r="F6" s="40">
        <f t="shared" ref="F6:F14" si="1">IFERROR(((E6*100)/D6),0)</f>
        <v>71.98795180722891</v>
      </c>
      <c r="G6" s="43">
        <f>SUMIFS(Tabela3[Reprovados],Tabela3[Ano],"2020",Tabela3[Modalidade de Ensino],"A Distância")</f>
        <v>7</v>
      </c>
      <c r="H6" s="43">
        <f>SUMIFS(Tabela3[Desistentes],Tabela3[Ano],"2020",Tabela3[Modalidade de Ensino],"A Distância")</f>
        <v>9</v>
      </c>
      <c r="I6" s="43">
        <f>SUMIFS(Tabela3[Não responderam o 1º questionário],Tabela3[Ano],"2020",Tabela3[Modalidade de Ensino],"A Distância")</f>
        <v>15</v>
      </c>
      <c r="J6" s="44">
        <f>SUMIFS(Tabela3[Nunca acessaram o curso],Tabela3[Ano],"2020",Tabela3[Modalidade de Ensino],"A Distância")</f>
        <v>62</v>
      </c>
    </row>
    <row r="7" spans="1:12" ht="15" thickBot="1" x14ac:dyDescent="0.3">
      <c r="A7" s="55" t="s">
        <v>21</v>
      </c>
      <c r="B7" s="46">
        <f>COUNTIFS(Tabela3[Ano],"2020",Tabela3[Modalidade de Ensino],"Semipresencial")</f>
        <v>0</v>
      </c>
      <c r="C7" s="46">
        <f>SUMIFS(Tabela3[Inscritos],Tabela3[Ano],"2020",Tabela3[Modalidade de Ensino],"Semipresencial")</f>
        <v>0</v>
      </c>
      <c r="D7" s="46">
        <f>SUMIFS(Tabela3[Matriculados],Tabela3[Ano],"2020",Tabela3[Modalidade de Ensino],"Semipresencial")</f>
        <v>0</v>
      </c>
      <c r="E7" s="46">
        <f>SUMIFS(Tabela3[Aprovados],Tabela3[Ano],"2020",Tabela3[Modalidade de Ensino],"Semipresencial")</f>
        <v>0</v>
      </c>
      <c r="F7" s="85">
        <f t="shared" si="1"/>
        <v>0</v>
      </c>
      <c r="G7" s="46">
        <f>SUMIFS(Tabela3[Reprovados],Tabela3[Ano],"2020",Tabela3[Modalidade de Ensino],"Semipresencial")</f>
        <v>0</v>
      </c>
      <c r="H7" s="46">
        <f>SUMIFS(Tabela3[Desistentes],Tabela3[Ano],"2020",Tabela3[Modalidade de Ensino],"Semipresencial")</f>
        <v>0</v>
      </c>
      <c r="I7" s="46">
        <f>SUMIFS(Tabela3[Não responderam o 1º questionário],Tabela3[Ano],"2020",Tabela3[Modalidade de Ensino],"Semipresencial")</f>
        <v>0</v>
      </c>
      <c r="J7" s="47">
        <f>SUMIFS(Tabela3[Nunca acessaram o curso],Tabela3[Ano],"2020",Tabela3[Modalidade de Ensino],"Semipresencial")</f>
        <v>0</v>
      </c>
    </row>
    <row r="8" spans="1:12" ht="25.5" hidden="1" x14ac:dyDescent="0.25">
      <c r="A8" s="53" t="str">
        <f>IF('Controle adm. dos cursos'!C3=2019,'Controle adm. dos cursos'!B3," ")</f>
        <v>Conhecimentos Fundamentais em Proteção e Defesa Civil - DPDC</v>
      </c>
      <c r="B8" s="74"/>
      <c r="C8" s="75">
        <f>'Resumo dos cursos'!F3</f>
        <v>42</v>
      </c>
      <c r="D8" s="75">
        <f>'Resumo dos cursos'!G3</f>
        <v>17</v>
      </c>
      <c r="E8" s="75">
        <f>'Resumo dos cursos'!H3</f>
        <v>16</v>
      </c>
      <c r="F8" s="79">
        <f t="shared" si="1"/>
        <v>94.117647058823536</v>
      </c>
      <c r="G8" s="75">
        <f>'Resumo dos cursos'!J3</f>
        <v>1</v>
      </c>
      <c r="H8" s="75">
        <f>'Resumo dos cursos'!K3</f>
        <v>0</v>
      </c>
      <c r="I8" s="75">
        <f>'Resumo dos cursos'!L3</f>
        <v>0</v>
      </c>
      <c r="J8" s="77">
        <f>'Resumo dos cursos'!M3</f>
        <v>0</v>
      </c>
    </row>
    <row r="9" spans="1:12" ht="47.25" hidden="1" customHeight="1" x14ac:dyDescent="0.25">
      <c r="A9" s="54" t="str">
        <f>IF('Controle adm. dos cursos'!C4=2019,'Controle adm. dos cursos'!B4," ")</f>
        <v>Conhecimentos Básicos para Integrantes da Rede Estadual de Emergência de Radioamadores - REER - Turma 2019</v>
      </c>
      <c r="B9" s="43"/>
      <c r="C9" s="43">
        <f>'Resumo dos cursos'!F4</f>
        <v>137</v>
      </c>
      <c r="D9" s="43">
        <f>'Resumo dos cursos'!G4</f>
        <v>137</v>
      </c>
      <c r="E9" s="43">
        <f>'Resumo dos cursos'!H4</f>
        <v>99</v>
      </c>
      <c r="F9" s="40">
        <f t="shared" si="1"/>
        <v>72.262773722627742</v>
      </c>
      <c r="G9" s="43">
        <f>'Resumo dos cursos'!J4</f>
        <v>10</v>
      </c>
      <c r="H9" s="43">
        <f>'Resumo dos cursos'!K4</f>
        <v>1</v>
      </c>
      <c r="I9" s="43">
        <f>'Resumo dos cursos'!L4</f>
        <v>1</v>
      </c>
      <c r="J9" s="44">
        <f>'Resumo dos cursos'!M4</f>
        <v>26</v>
      </c>
    </row>
    <row r="10" spans="1:12" ht="24" hidden="1" customHeight="1" x14ac:dyDescent="0.25">
      <c r="A10" s="70" t="str">
        <f>IF('Controle adm. dos cursos'!C5=2019,'Controle adm. dos cursos'!B5," ")</f>
        <v>SCI - Sistema de Comando de Incidentes</v>
      </c>
      <c r="B10" s="43"/>
      <c r="C10" s="43">
        <f>'Resumo dos cursos'!F5</f>
        <v>22</v>
      </c>
      <c r="D10" s="43">
        <f>'Resumo dos cursos'!G5</f>
        <v>22</v>
      </c>
      <c r="E10" s="43">
        <f>'Resumo dos cursos'!H5</f>
        <v>9</v>
      </c>
      <c r="F10" s="40">
        <f t="shared" si="1"/>
        <v>40.909090909090907</v>
      </c>
      <c r="G10" s="43">
        <f>'Resumo dos cursos'!J5</f>
        <v>2</v>
      </c>
      <c r="H10" s="43">
        <f>'Resumo dos cursos'!K5</f>
        <v>6</v>
      </c>
      <c r="I10" s="43">
        <f>'Resumo dos cursos'!L5</f>
        <v>3</v>
      </c>
      <c r="J10" s="44">
        <f>'Resumo dos cursos'!M5</f>
        <v>2</v>
      </c>
    </row>
    <row r="11" spans="1:12" ht="25.5" hidden="1" x14ac:dyDescent="0.25">
      <c r="A11" s="70" t="str">
        <f>IF('Controle adm. dos cursos'!C6=2019,'Controle adm. dos cursos'!B6," ")</f>
        <v>SCI - Sistema de Comando de Incidentes - Turma ADAPAR</v>
      </c>
      <c r="B11" s="43"/>
      <c r="C11" s="43">
        <f>'Resumo dos cursos'!F6</f>
        <v>27</v>
      </c>
      <c r="D11" s="43">
        <f>'Resumo dos cursos'!G6</f>
        <v>27</v>
      </c>
      <c r="E11" s="43">
        <f>'Resumo dos cursos'!H6</f>
        <v>25</v>
      </c>
      <c r="F11" s="40">
        <f t="shared" si="1"/>
        <v>92.592592592592595</v>
      </c>
      <c r="G11" s="43">
        <f>'Resumo dos cursos'!J6</f>
        <v>0</v>
      </c>
      <c r="H11" s="43">
        <f>'Resumo dos cursos'!K6</f>
        <v>0</v>
      </c>
      <c r="I11" s="43">
        <f>'Resumo dos cursos'!L6</f>
        <v>0</v>
      </c>
      <c r="J11" s="44">
        <f>'Resumo dos cursos'!M6</f>
        <v>2</v>
      </c>
    </row>
    <row r="12" spans="1:12" ht="24" hidden="1" customHeight="1" x14ac:dyDescent="0.25">
      <c r="A12" s="70" t="str">
        <f>IF('Controle adm. dos cursos'!C7=2019,'Controle adm. dos cursos'!B7," ")</f>
        <v>SCI - Sistema de Comando de Incidentes - Turma II ADAPAR</v>
      </c>
      <c r="B12" s="71"/>
      <c r="C12" s="43">
        <f>'Resumo dos cursos'!F7</f>
        <v>98</v>
      </c>
      <c r="D12" s="43">
        <f>'Resumo dos cursos'!G7</f>
        <v>98</v>
      </c>
      <c r="E12" s="43">
        <f>'Resumo dos cursos'!H7</f>
        <v>57</v>
      </c>
      <c r="F12" s="40">
        <f t="shared" si="1"/>
        <v>58.163265306122447</v>
      </c>
      <c r="G12" s="43">
        <f>'Resumo dos cursos'!J7</f>
        <v>1</v>
      </c>
      <c r="H12" s="43">
        <f>'Resumo dos cursos'!K7</f>
        <v>5</v>
      </c>
      <c r="I12" s="43">
        <f>'Resumo dos cursos'!L7</f>
        <v>14</v>
      </c>
      <c r="J12" s="44">
        <f>'Resumo dos cursos'!M7</f>
        <v>21</v>
      </c>
    </row>
    <row r="13" spans="1:12" ht="24" hidden="1" customHeight="1" x14ac:dyDescent="0.25">
      <c r="A13" s="70" t="str">
        <f>IF('Controle adm. dos cursos'!C8=2019,'Controle adm. dos cursos'!B8," ")</f>
        <v>Atendimento de Emergências em Edificações - Turma CELEPAR</v>
      </c>
      <c r="B13" s="71"/>
      <c r="C13" s="43">
        <f>'Resumo dos cursos'!F8</f>
        <v>97</v>
      </c>
      <c r="D13" s="43">
        <f>'Resumo dos cursos'!G8</f>
        <v>97</v>
      </c>
      <c r="E13" s="43">
        <f>'Resumo dos cursos'!H8</f>
        <v>72</v>
      </c>
      <c r="F13" s="40">
        <f t="shared" si="1"/>
        <v>74.226804123711347</v>
      </c>
      <c r="G13" s="43">
        <f>'Resumo dos cursos'!J8</f>
        <v>8</v>
      </c>
      <c r="H13" s="43">
        <f>'Resumo dos cursos'!K8</f>
        <v>2</v>
      </c>
      <c r="I13" s="43">
        <f>'Resumo dos cursos'!L8</f>
        <v>4</v>
      </c>
      <c r="J13" s="44">
        <f>'Resumo dos cursos'!M8</f>
        <v>11</v>
      </c>
    </row>
    <row r="14" spans="1:12" ht="25.5" hidden="1" x14ac:dyDescent="0.25">
      <c r="A14" s="54" t="str">
        <f>IF('Controle adm. dos cursos'!C9=2019,'Controle adm. dos cursos'!B9," ")</f>
        <v>Atendimento de Emergências em Edificações - Turma UEM</v>
      </c>
      <c r="B14" s="71"/>
      <c r="C14" s="43">
        <f>'Resumo dos cursos'!F9</f>
        <v>277</v>
      </c>
      <c r="D14" s="43">
        <f>'Resumo dos cursos'!G9</f>
        <v>277</v>
      </c>
      <c r="E14" s="43">
        <f>'Resumo dos cursos'!H9</f>
        <v>190</v>
      </c>
      <c r="F14" s="40">
        <f t="shared" si="1"/>
        <v>68.592057761732846</v>
      </c>
      <c r="G14" s="43">
        <f>'Resumo dos cursos'!J9</f>
        <v>7</v>
      </c>
      <c r="H14" s="43">
        <f>'Resumo dos cursos'!K9</f>
        <v>8</v>
      </c>
      <c r="I14" s="43">
        <f>'Resumo dos cursos'!L9</f>
        <v>11</v>
      </c>
      <c r="J14" s="44">
        <f>'Resumo dos cursos'!M9</f>
        <v>61</v>
      </c>
    </row>
    <row r="15" spans="1:12" ht="25.5" x14ac:dyDescent="0.25">
      <c r="A15" s="54" t="str">
        <f>IF('Controle adm. dos cursos'!C10=2020,'Controle adm. dos cursos'!B10," ")</f>
        <v>SCI - Sistema de Comando de Incidentes - Turma APA 2020</v>
      </c>
      <c r="B15" s="71"/>
      <c r="C15" s="43">
        <f>'Resumo dos cursos'!F10</f>
        <v>60</v>
      </c>
      <c r="D15" s="43">
        <f>'Resumo dos cursos'!G10</f>
        <v>60</v>
      </c>
      <c r="E15" s="43">
        <f>'Resumo dos cursos'!H10</f>
        <v>29</v>
      </c>
      <c r="F15" s="40">
        <f>IFERROR(((E15*100)/D15),0)</f>
        <v>48.333333333333336</v>
      </c>
      <c r="G15" s="43">
        <f>'Resumo dos cursos'!J10</f>
        <v>1</v>
      </c>
      <c r="H15" s="43">
        <f>'Resumo dos cursos'!K10</f>
        <v>0</v>
      </c>
      <c r="I15" s="43">
        <f>'Resumo dos cursos'!L10</f>
        <v>2</v>
      </c>
      <c r="J15" s="44">
        <f>'Resumo dos cursos'!M10</f>
        <v>28</v>
      </c>
    </row>
    <row r="16" spans="1:12" ht="25.5" x14ac:dyDescent="0.25">
      <c r="A16" s="54" t="str">
        <f>IF('Controle adm. dos cursos'!C11=2020,'Controle adm. dos cursos'!B11," ")</f>
        <v>Conhecimentos em Proteção e Defesa Civil - Turma 6ª CORPDEC</v>
      </c>
      <c r="B16" s="71"/>
      <c r="C16" s="43">
        <f>'Resumo dos cursos'!F11</f>
        <v>74</v>
      </c>
      <c r="D16" s="43">
        <f>'Resumo dos cursos'!G11</f>
        <v>74</v>
      </c>
      <c r="E16" s="43">
        <f>'Resumo dos cursos'!H11</f>
        <v>61</v>
      </c>
      <c r="F16" s="40">
        <f>IFERROR(((E16*100)/D16),0)</f>
        <v>82.432432432432435</v>
      </c>
      <c r="G16" s="43">
        <f>'Resumo dos cursos'!J11</f>
        <v>2</v>
      </c>
      <c r="H16" s="43">
        <f>'Resumo dos cursos'!K11</f>
        <v>0</v>
      </c>
      <c r="I16" s="43">
        <f>'Resumo dos cursos'!L11</f>
        <v>5</v>
      </c>
      <c r="J16" s="44">
        <f>'Resumo dos cursos'!M11</f>
        <v>6</v>
      </c>
    </row>
    <row r="17" spans="1:10" ht="25.5" x14ac:dyDescent="0.25">
      <c r="A17" s="54" t="str">
        <f>IF('Controle adm. dos cursos'!C12=2020,'Controle adm. dos cursos'!B12," ")</f>
        <v>RISCOS E DESASTRES: conhecimentos fundamentais</v>
      </c>
      <c r="B17" s="71"/>
      <c r="C17" s="43">
        <f>'Resumo dos cursos'!F12</f>
        <v>71</v>
      </c>
      <c r="D17" s="43">
        <f>'Resumo dos cursos'!G12</f>
        <v>71</v>
      </c>
      <c r="E17" s="43">
        <f>'Resumo dos cursos'!H12</f>
        <v>53</v>
      </c>
      <c r="F17" s="40">
        <f>IFERROR(((E17*100)/D17),0)</f>
        <v>74.647887323943664</v>
      </c>
      <c r="G17" s="43">
        <f>'Resumo dos cursos'!J12</f>
        <v>3</v>
      </c>
      <c r="H17" s="43">
        <f>'Resumo dos cursos'!K12</f>
        <v>2</v>
      </c>
      <c r="I17" s="43">
        <f>'Resumo dos cursos'!L12</f>
        <v>5</v>
      </c>
      <c r="J17" s="44">
        <f>'Resumo dos cursos'!M12</f>
        <v>8</v>
      </c>
    </row>
    <row r="18" spans="1:10" ht="26.25" thickBot="1" x14ac:dyDescent="0.3">
      <c r="A18" s="55" t="str">
        <f>IF('Controle adm. dos cursos'!C13=2020,'Controle adm. dos cursos'!B13," ")</f>
        <v>SCI - Sistema de Comando de Incidentes - Turma RS 2020</v>
      </c>
      <c r="B18" s="84"/>
      <c r="C18" s="46">
        <f>'Resumo dos cursos'!F13</f>
        <v>127</v>
      </c>
      <c r="D18" s="46">
        <f>'Resumo dos cursos'!G13</f>
        <v>127</v>
      </c>
      <c r="E18" s="46">
        <f>'Resumo dos cursos'!H13</f>
        <v>96</v>
      </c>
      <c r="F18" s="85">
        <f>IFERROR(((E18*100)/D18),0)</f>
        <v>75.590551181102356</v>
      </c>
      <c r="G18" s="46">
        <f>'Resumo dos cursos'!J13</f>
        <v>1</v>
      </c>
      <c r="H18" s="46">
        <f>'Resumo dos cursos'!K13</f>
        <v>7</v>
      </c>
      <c r="I18" s="46">
        <f>'Resumo dos cursos'!L13</f>
        <v>3</v>
      </c>
      <c r="J18" s="47">
        <f>'Resumo dos cursos'!M13</f>
        <v>20</v>
      </c>
    </row>
  </sheetData>
  <sheetProtection algorithmName="SHA-512" hashValue="nY8dgirr5X8qYZ1OnX20Cw8n1JiSIkNgDj6hzRiizavy17sR1LdmUEfxOENZ1OYXY/lUtDCxDgBR3cQZiPFEYA==" saltValue="TFaLi/XueoGei4b8mOP6PA==" spinCount="100000" sheet="1" objects="1" scenarios="1"/>
  <mergeCells count="3">
    <mergeCell ref="A1:J1"/>
    <mergeCell ref="B2:B3"/>
    <mergeCell ref="C2:J2"/>
  </mergeCells>
  <conditionalFormatting sqref="F5:F18">
    <cfRule type="cellIs" dxfId="1" priority="1" operator="equal">
      <formula>0</formula>
    </cfRule>
    <cfRule type="cellIs" priority="2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landscape" horizontalDpi="4294967294" verticalDpi="4294967294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showGridLines="0" zoomScale="145" zoomScaleNormal="145" workbookViewId="0">
      <selection activeCell="M15" sqref="M15"/>
    </sheetView>
  </sheetViews>
  <sheetFormatPr defaultRowHeight="14.25" x14ac:dyDescent="0.25"/>
  <cols>
    <col min="1" max="1" width="35.42578125" style="50" bestFit="1" customWidth="1"/>
    <col min="2" max="2" width="11.5703125" style="36" customWidth="1"/>
    <col min="3" max="3" width="8.42578125" style="36" bestFit="1" customWidth="1"/>
    <col min="4" max="4" width="12.5703125" style="36" bestFit="1" customWidth="1"/>
    <col min="5" max="5" width="9.7109375" style="36" bestFit="1" customWidth="1"/>
    <col min="6" max="6" width="7.85546875" style="76" bestFit="1" customWidth="1"/>
    <col min="7" max="8" width="11.42578125" style="36" bestFit="1" customWidth="1"/>
    <col min="9" max="9" width="14.7109375" style="36" customWidth="1"/>
    <col min="10" max="10" width="12" style="36" customWidth="1"/>
    <col min="11" max="16384" width="9.140625" style="36"/>
  </cols>
  <sheetData>
    <row r="1" spans="1:12" ht="53.25" customHeight="1" thickBot="1" x14ac:dyDescent="0.3">
      <c r="A1" s="111" t="s">
        <v>87</v>
      </c>
      <c r="B1" s="112"/>
      <c r="C1" s="112"/>
      <c r="D1" s="112"/>
      <c r="E1" s="112"/>
      <c r="F1" s="112"/>
      <c r="G1" s="112"/>
      <c r="H1" s="112"/>
      <c r="I1" s="112"/>
      <c r="J1" s="113"/>
    </row>
    <row r="2" spans="1:12" ht="15.75" customHeight="1" x14ac:dyDescent="0.25">
      <c r="A2" s="37"/>
      <c r="B2" s="116" t="s">
        <v>34</v>
      </c>
      <c r="C2" s="116" t="s">
        <v>26</v>
      </c>
      <c r="D2" s="116"/>
      <c r="E2" s="116"/>
      <c r="F2" s="116"/>
      <c r="G2" s="116"/>
      <c r="H2" s="116"/>
      <c r="I2" s="116"/>
      <c r="J2" s="118"/>
    </row>
    <row r="3" spans="1:12" ht="36.75" thickBot="1" x14ac:dyDescent="0.3">
      <c r="A3" s="38"/>
      <c r="B3" s="117"/>
      <c r="C3" s="57" t="s">
        <v>11</v>
      </c>
      <c r="D3" s="57" t="s">
        <v>12</v>
      </c>
      <c r="E3" s="57" t="s">
        <v>68</v>
      </c>
      <c r="F3" s="78" t="s">
        <v>37</v>
      </c>
      <c r="G3" s="57" t="s">
        <v>14</v>
      </c>
      <c r="H3" s="57" t="s">
        <v>15</v>
      </c>
      <c r="I3" s="57" t="s">
        <v>16</v>
      </c>
      <c r="J3" s="58" t="s">
        <v>17</v>
      </c>
    </row>
    <row r="4" spans="1:12" ht="16.5" thickBot="1" x14ac:dyDescent="0.3">
      <c r="A4" s="59" t="s">
        <v>23</v>
      </c>
      <c r="B4" s="56">
        <f>COUNTIF(Tabela3[Ano],"2021")</f>
        <v>5</v>
      </c>
      <c r="C4" s="56">
        <f>SUM(C5:C7)</f>
        <v>404</v>
      </c>
      <c r="D4" s="56">
        <f t="shared" ref="D4:J4" si="0">SUM(D5:D7)</f>
        <v>404</v>
      </c>
      <c r="E4" s="56">
        <f t="shared" si="0"/>
        <v>254</v>
      </c>
      <c r="F4" s="72">
        <f t="shared" si="0"/>
        <v>62.871287128712872</v>
      </c>
      <c r="G4" s="56">
        <f t="shared" si="0"/>
        <v>11</v>
      </c>
      <c r="H4" s="56">
        <f t="shared" si="0"/>
        <v>75</v>
      </c>
      <c r="I4" s="56">
        <f t="shared" si="0"/>
        <v>20</v>
      </c>
      <c r="J4" s="73">
        <f t="shared" si="0"/>
        <v>44</v>
      </c>
      <c r="L4" s="69"/>
    </row>
    <row r="5" spans="1:12" x14ac:dyDescent="0.25">
      <c r="A5" s="53" t="s">
        <v>20</v>
      </c>
      <c r="B5" s="39">
        <f>COUNTIFS(Tabela3[Ano],"2021",Tabela3[Modalidade de Ensino],"Presencial")</f>
        <v>0</v>
      </c>
      <c r="C5" s="39">
        <f>SUMIFS(Tabela3[Inscritos],Tabela3[Ano],"2021",Tabela3[Modalidade de Ensino],"Presencial")</f>
        <v>0</v>
      </c>
      <c r="D5" s="39">
        <f>SUMIFS(Tabela3[Matriculados],Tabela3[Ano],"2021",Tabela3[Modalidade de Ensino],"Presencial")</f>
        <v>0</v>
      </c>
      <c r="E5" s="39">
        <f>SUMIFS(Tabela3[Aprovados],Tabela3[Ano],"2021",Tabela3[Modalidade de Ensino],"Presencial")</f>
        <v>0</v>
      </c>
      <c r="F5" s="79">
        <f>IFERROR(((E5*100)/D5),0)</f>
        <v>0</v>
      </c>
      <c r="G5" s="39">
        <f>SUMIFS(Tabela3[Reprovados],Tabela3[Ano],"2021",Tabela3[Modalidade de Ensino],"Presencial")</f>
        <v>0</v>
      </c>
      <c r="H5" s="39">
        <f>SUMIFS(Tabela3[Desistentes],Tabela3[Ano],"2021",Tabela3[Modalidade de Ensino],"Presencial")</f>
        <v>0</v>
      </c>
      <c r="I5" s="39">
        <f>SUMIFS(Tabela3[Não responderam o 1º questionário],Tabela3[Ano],"2021",Tabela3[Modalidade de Ensino],"Presencial")</f>
        <v>0</v>
      </c>
      <c r="J5" s="41">
        <f>SUMIFS(Tabela3[Nunca acessaram o curso],Tabela3[Ano],"2021",Tabela3[Modalidade de Ensino],"Presencial")</f>
        <v>0</v>
      </c>
    </row>
    <row r="6" spans="1:12" x14ac:dyDescent="0.25">
      <c r="A6" s="54" t="s">
        <v>22</v>
      </c>
      <c r="B6" s="43">
        <f>COUNTIFS(Tabela3[Ano],"2021",Tabela3[Modalidade de Ensino],"A Distância")</f>
        <v>5</v>
      </c>
      <c r="C6" s="43">
        <f>SUMIFS(Tabela3[Inscritos],Tabela3[Ano],"2021",Tabela3[Modalidade de Ensino],"A Distância")</f>
        <v>404</v>
      </c>
      <c r="D6" s="43">
        <f>SUMIFS(Tabela3[Matriculados],Tabela3[Ano],"2021",Tabela3[Modalidade de Ensino],"A Distância")</f>
        <v>404</v>
      </c>
      <c r="E6" s="43">
        <f>SUMIFS(Tabela3[Aprovados],Tabela3[Ano],"2021",Tabela3[Modalidade de Ensino],"A Distância")</f>
        <v>254</v>
      </c>
      <c r="F6" s="40">
        <f t="shared" ref="F6:F18" si="1">IFERROR(((E6*100)/D6),0)</f>
        <v>62.871287128712872</v>
      </c>
      <c r="G6" s="43">
        <f>SUMIFS(Tabela3[Reprovados],Tabela3[Ano],"2021",Tabela3[Modalidade de Ensino],"A Distância")</f>
        <v>11</v>
      </c>
      <c r="H6" s="43">
        <f>SUMIFS(Tabela3[Desistentes],Tabela3[Ano],"2021",Tabela3[Modalidade de Ensino],"A Distância")</f>
        <v>75</v>
      </c>
      <c r="I6" s="43">
        <f>SUMIFS(Tabela3[Não responderam o 1º questionário],Tabela3[Ano],"2021",Tabela3[Modalidade de Ensino],"A Distância")</f>
        <v>20</v>
      </c>
      <c r="J6" s="44">
        <f>SUMIFS(Tabela3[Nunca acessaram o curso],Tabela3[Ano],"2021",Tabela3[Modalidade de Ensino],"A Distância")</f>
        <v>44</v>
      </c>
    </row>
    <row r="7" spans="1:12" ht="15" thickBot="1" x14ac:dyDescent="0.3">
      <c r="A7" s="55" t="s">
        <v>21</v>
      </c>
      <c r="B7" s="46">
        <f>COUNTIFS(Tabela3[Ano],"2021",Tabela3[Modalidade de Ensino],"Semipresencial")</f>
        <v>0</v>
      </c>
      <c r="C7" s="46">
        <f>SUMIFS(Tabela3[Inscritos],Tabela3[Ano],"2021",Tabela3[Modalidade de Ensino],"Semipresencial")</f>
        <v>0</v>
      </c>
      <c r="D7" s="46">
        <f>SUMIFS(Tabela3[Matriculados],Tabela3[Ano],"2021",Tabela3[Modalidade de Ensino],"Semipresencial")</f>
        <v>0</v>
      </c>
      <c r="E7" s="46">
        <f>SUMIFS(Tabela3[Aprovados],Tabela3[Ano],"2021",Tabela3[Modalidade de Ensino],"Semipresencial")</f>
        <v>0</v>
      </c>
      <c r="F7" s="85">
        <f t="shared" si="1"/>
        <v>0</v>
      </c>
      <c r="G7" s="46">
        <f>SUMIFS(Tabela3[Reprovados],Tabela3[Ano],"2021",Tabela3[Modalidade de Ensino],"Semipresencial")</f>
        <v>0</v>
      </c>
      <c r="H7" s="46">
        <f>SUMIFS(Tabela3[Desistentes],Tabela3[Ano],"2021",Tabela3[Modalidade de Ensino],"Semipresencial")</f>
        <v>0</v>
      </c>
      <c r="I7" s="46">
        <f>SUMIFS(Tabela3[Não responderam o 1º questionário],Tabela3[Ano],"2021",Tabela3[Modalidade de Ensino],"Semipresencial")</f>
        <v>0</v>
      </c>
      <c r="J7" s="47">
        <f>SUMIFS(Tabela3[Nunca acessaram o curso],Tabela3[Ano],"2021",Tabela3[Modalidade de Ensino],"Semipresencial")</f>
        <v>0</v>
      </c>
    </row>
    <row r="8" spans="1:12" ht="25.5" hidden="1" customHeight="1" x14ac:dyDescent="0.25">
      <c r="A8" s="53" t="str">
        <f>IF('Controle adm. dos cursos'!C3=2019,'Controle adm. dos cursos'!B3," ")</f>
        <v>Conhecimentos Fundamentais em Proteção e Defesa Civil - DPDC</v>
      </c>
      <c r="B8" s="74"/>
      <c r="C8" s="75">
        <f>'Resumo dos cursos'!F3</f>
        <v>42</v>
      </c>
      <c r="D8" s="75">
        <f>'Resumo dos cursos'!G3</f>
        <v>17</v>
      </c>
      <c r="E8" s="75">
        <f>'Resumo dos cursos'!H3</f>
        <v>16</v>
      </c>
      <c r="F8" s="79">
        <f t="shared" si="1"/>
        <v>94.117647058823536</v>
      </c>
      <c r="G8" s="75">
        <f>'Resumo dos cursos'!J3</f>
        <v>1</v>
      </c>
      <c r="H8" s="75">
        <f>'Resumo dos cursos'!K3</f>
        <v>0</v>
      </c>
      <c r="I8" s="75">
        <f>'Resumo dos cursos'!L3</f>
        <v>0</v>
      </c>
      <c r="J8" s="77">
        <f>'Resumo dos cursos'!M3</f>
        <v>0</v>
      </c>
    </row>
    <row r="9" spans="1:12" ht="47.25" hidden="1" customHeight="1" x14ac:dyDescent="0.25">
      <c r="A9" s="54" t="str">
        <f>IF('Controle adm. dos cursos'!C4=2019,'Controle adm. dos cursos'!B4," ")</f>
        <v>Conhecimentos Básicos para Integrantes da Rede Estadual de Emergência de Radioamadores - REER - Turma 2019</v>
      </c>
      <c r="B9" s="43"/>
      <c r="C9" s="43">
        <f>'Resumo dos cursos'!F4</f>
        <v>137</v>
      </c>
      <c r="D9" s="43">
        <f>'Resumo dos cursos'!G4</f>
        <v>137</v>
      </c>
      <c r="E9" s="43">
        <f>'Resumo dos cursos'!H4</f>
        <v>99</v>
      </c>
      <c r="F9" s="40">
        <f t="shared" si="1"/>
        <v>72.262773722627742</v>
      </c>
      <c r="G9" s="43">
        <f>'Resumo dos cursos'!J4</f>
        <v>10</v>
      </c>
      <c r="H9" s="43">
        <f>'Resumo dos cursos'!K4</f>
        <v>1</v>
      </c>
      <c r="I9" s="43">
        <f>'Resumo dos cursos'!L4</f>
        <v>1</v>
      </c>
      <c r="J9" s="44">
        <f>'Resumo dos cursos'!M4</f>
        <v>26</v>
      </c>
    </row>
    <row r="10" spans="1:12" ht="24" hidden="1" customHeight="1" x14ac:dyDescent="0.25">
      <c r="A10" s="70" t="str">
        <f>IF('Controle adm. dos cursos'!C5=2019,'Controle adm. dos cursos'!B5," ")</f>
        <v>SCI - Sistema de Comando de Incidentes</v>
      </c>
      <c r="B10" s="43"/>
      <c r="C10" s="43">
        <f>'Resumo dos cursos'!F5</f>
        <v>22</v>
      </c>
      <c r="D10" s="43">
        <f>'Resumo dos cursos'!G5</f>
        <v>22</v>
      </c>
      <c r="E10" s="43">
        <f>'Resumo dos cursos'!H5</f>
        <v>9</v>
      </c>
      <c r="F10" s="40">
        <f t="shared" si="1"/>
        <v>40.909090909090907</v>
      </c>
      <c r="G10" s="43">
        <f>'Resumo dos cursos'!J5</f>
        <v>2</v>
      </c>
      <c r="H10" s="43">
        <f>'Resumo dos cursos'!K5</f>
        <v>6</v>
      </c>
      <c r="I10" s="43">
        <f>'Resumo dos cursos'!L5</f>
        <v>3</v>
      </c>
      <c r="J10" s="44">
        <f>'Resumo dos cursos'!M5</f>
        <v>2</v>
      </c>
    </row>
    <row r="11" spans="1:12" ht="25.5" hidden="1" customHeight="1" x14ac:dyDescent="0.25">
      <c r="A11" s="70" t="str">
        <f>IF('Controle adm. dos cursos'!C6=2019,'Controle adm. dos cursos'!B6," ")</f>
        <v>SCI - Sistema de Comando de Incidentes - Turma ADAPAR</v>
      </c>
      <c r="B11" s="43"/>
      <c r="C11" s="43">
        <f>'Resumo dos cursos'!F6</f>
        <v>27</v>
      </c>
      <c r="D11" s="43">
        <f>'Resumo dos cursos'!G6</f>
        <v>27</v>
      </c>
      <c r="E11" s="43">
        <f>'Resumo dos cursos'!H6</f>
        <v>25</v>
      </c>
      <c r="F11" s="40">
        <f t="shared" si="1"/>
        <v>92.592592592592595</v>
      </c>
      <c r="G11" s="43">
        <f>'Resumo dos cursos'!J6</f>
        <v>0</v>
      </c>
      <c r="H11" s="43">
        <f>'Resumo dos cursos'!K6</f>
        <v>0</v>
      </c>
      <c r="I11" s="43">
        <f>'Resumo dos cursos'!L6</f>
        <v>0</v>
      </c>
      <c r="J11" s="44">
        <f>'Resumo dos cursos'!M6</f>
        <v>2</v>
      </c>
    </row>
    <row r="12" spans="1:12" ht="24" hidden="1" customHeight="1" x14ac:dyDescent="0.25">
      <c r="A12" s="70" t="str">
        <f>IF('Controle adm. dos cursos'!C7=2019,'Controle adm. dos cursos'!B7," ")</f>
        <v>SCI - Sistema de Comando de Incidentes - Turma II ADAPAR</v>
      </c>
      <c r="B12" s="71"/>
      <c r="C12" s="43">
        <f>'Resumo dos cursos'!F7</f>
        <v>98</v>
      </c>
      <c r="D12" s="43">
        <f>'Resumo dos cursos'!G7</f>
        <v>98</v>
      </c>
      <c r="E12" s="43">
        <f>'Resumo dos cursos'!H7</f>
        <v>57</v>
      </c>
      <c r="F12" s="40">
        <f t="shared" si="1"/>
        <v>58.163265306122447</v>
      </c>
      <c r="G12" s="43">
        <f>'Resumo dos cursos'!J7</f>
        <v>1</v>
      </c>
      <c r="H12" s="43">
        <f>'Resumo dos cursos'!K7</f>
        <v>5</v>
      </c>
      <c r="I12" s="43">
        <f>'Resumo dos cursos'!L7</f>
        <v>14</v>
      </c>
      <c r="J12" s="44">
        <f>'Resumo dos cursos'!M7</f>
        <v>21</v>
      </c>
    </row>
    <row r="13" spans="1:12" ht="24" hidden="1" customHeight="1" x14ac:dyDescent="0.25">
      <c r="A13" s="70" t="str">
        <f>IF('Controle adm. dos cursos'!C8=2019,'Controle adm. dos cursos'!B8," ")</f>
        <v>Atendimento de Emergências em Edificações - Turma CELEPAR</v>
      </c>
      <c r="B13" s="71"/>
      <c r="C13" s="43">
        <f>'Resumo dos cursos'!F8</f>
        <v>97</v>
      </c>
      <c r="D13" s="43">
        <f>'Resumo dos cursos'!G8</f>
        <v>97</v>
      </c>
      <c r="E13" s="43">
        <f>'Resumo dos cursos'!H8</f>
        <v>72</v>
      </c>
      <c r="F13" s="40">
        <f t="shared" si="1"/>
        <v>74.226804123711347</v>
      </c>
      <c r="G13" s="43">
        <f>'Resumo dos cursos'!J8</f>
        <v>8</v>
      </c>
      <c r="H13" s="43">
        <f>'Resumo dos cursos'!K8</f>
        <v>2</v>
      </c>
      <c r="I13" s="43">
        <f>'Resumo dos cursos'!L8</f>
        <v>4</v>
      </c>
      <c r="J13" s="44">
        <f>'Resumo dos cursos'!M8</f>
        <v>11</v>
      </c>
    </row>
    <row r="14" spans="1:12" ht="25.5" hidden="1" customHeight="1" x14ac:dyDescent="0.25">
      <c r="A14" s="54" t="str">
        <f>IF('Controle adm. dos cursos'!C9=2019,'Controle adm. dos cursos'!B9," ")</f>
        <v>Atendimento de Emergências em Edificações - Turma UEM</v>
      </c>
      <c r="B14" s="71"/>
      <c r="C14" s="43">
        <f>'Resumo dos cursos'!F9</f>
        <v>277</v>
      </c>
      <c r="D14" s="43">
        <f>'Resumo dos cursos'!G9</f>
        <v>277</v>
      </c>
      <c r="E14" s="43">
        <f>'Resumo dos cursos'!H9</f>
        <v>190</v>
      </c>
      <c r="F14" s="40">
        <f t="shared" si="1"/>
        <v>68.592057761732846</v>
      </c>
      <c r="G14" s="43">
        <f>'Resumo dos cursos'!J9</f>
        <v>7</v>
      </c>
      <c r="H14" s="43">
        <f>'Resumo dos cursos'!K9</f>
        <v>8</v>
      </c>
      <c r="I14" s="43">
        <f>'Resumo dos cursos'!L9</f>
        <v>11</v>
      </c>
      <c r="J14" s="44">
        <f>'Resumo dos cursos'!M9</f>
        <v>61</v>
      </c>
    </row>
    <row r="15" spans="1:12" ht="51" x14ac:dyDescent="0.25">
      <c r="A15" s="54" t="str">
        <f>IF('Controle adm. dos cursos'!C14=2021,'Controle adm. dos cursos'!B14," ")</f>
        <v>Conhecimentos Básicos para Integrantes da Rede Estadual de Emergência de Radioamadores - TURMA 2021</v>
      </c>
      <c r="B15" s="71"/>
      <c r="C15" s="43">
        <f>'Resumo dos cursos'!F14</f>
        <v>126</v>
      </c>
      <c r="D15" s="43">
        <f>'Resumo dos cursos'!G14</f>
        <v>126</v>
      </c>
      <c r="E15" s="43">
        <f>'Resumo dos cursos'!H14</f>
        <v>87</v>
      </c>
      <c r="F15" s="40">
        <f t="shared" si="1"/>
        <v>69.047619047619051</v>
      </c>
      <c r="G15" s="43">
        <f>'Resumo dos cursos'!J14</f>
        <v>4</v>
      </c>
      <c r="H15" s="43">
        <f>'Resumo dos cursos'!K14</f>
        <v>4</v>
      </c>
      <c r="I15" s="43">
        <f>'Resumo dos cursos'!L14</f>
        <v>9</v>
      </c>
      <c r="J15" s="44">
        <f>'Resumo dos cursos'!M14</f>
        <v>22</v>
      </c>
    </row>
    <row r="16" spans="1:12" ht="38.25" x14ac:dyDescent="0.25">
      <c r="A16" s="54" t="str">
        <f>IF('Controle adm. dos cursos'!C15=2021,'Controle adm. dos cursos'!B15," ")</f>
        <v>Conhecimentos Fundamentais para Gestores Municipais de Proteção e Defesa Civil - TURMA I 2021</v>
      </c>
      <c r="B16" s="71"/>
      <c r="C16" s="43">
        <f>'Resumo dos cursos'!F15</f>
        <v>176</v>
      </c>
      <c r="D16" s="43">
        <f>'Resumo dos cursos'!G15</f>
        <v>176</v>
      </c>
      <c r="E16" s="43">
        <f>'Resumo dos cursos'!H15</f>
        <v>106</v>
      </c>
      <c r="F16" s="40">
        <f t="shared" si="1"/>
        <v>60.227272727272727</v>
      </c>
      <c r="G16" s="43">
        <f>'Resumo dos cursos'!J15</f>
        <v>1</v>
      </c>
      <c r="H16" s="43">
        <f>'Resumo dos cursos'!K15</f>
        <v>69</v>
      </c>
      <c r="I16" s="43">
        <f>'Resumo dos cursos'!L15</f>
        <v>0</v>
      </c>
      <c r="J16" s="44">
        <f>'Resumo dos cursos'!M15</f>
        <v>0</v>
      </c>
    </row>
    <row r="17" spans="1:10" ht="25.5" x14ac:dyDescent="0.25">
      <c r="A17" s="54" t="str">
        <f>IF('Controle adm. dos cursos'!C16=2021,'Controle adm. dos cursos'!B16," ")</f>
        <v>Sistema de Comando de Incidentes - Turma: 5ª Divisão de Exército - 2021</v>
      </c>
      <c r="B17" s="71"/>
      <c r="C17" s="43">
        <f>'Resumo dos cursos'!F16</f>
        <v>28</v>
      </c>
      <c r="D17" s="43">
        <f>'Resumo dos cursos'!G16</f>
        <v>28</v>
      </c>
      <c r="E17" s="43">
        <f>'Resumo dos cursos'!H16</f>
        <v>27</v>
      </c>
      <c r="F17" s="40">
        <f t="shared" si="1"/>
        <v>96.428571428571431</v>
      </c>
      <c r="G17" s="43">
        <f>'Resumo dos cursos'!J16</f>
        <v>1</v>
      </c>
      <c r="H17" s="43">
        <f>'Resumo dos cursos'!K16</f>
        <v>0</v>
      </c>
      <c r="I17" s="43">
        <f>'Resumo dos cursos'!L16</f>
        <v>0</v>
      </c>
      <c r="J17" s="44">
        <f>'Resumo dos cursos'!M16</f>
        <v>0</v>
      </c>
    </row>
    <row r="18" spans="1:10" ht="51" x14ac:dyDescent="0.25">
      <c r="A18" s="54" t="str">
        <f>IF('Controle adm. dos cursos'!C17=2021,'Controle adm. dos cursos'!B17," ")</f>
        <v>Conhecimentos Básicos para Integrantes da Rede Estadual de Emergência de Radioamadores - TURMA II 2021</v>
      </c>
      <c r="B18" s="71"/>
      <c r="C18" s="43">
        <f>'Resumo dos cursos'!F17</f>
        <v>40</v>
      </c>
      <c r="D18" s="43">
        <f>'Resumo dos cursos'!G17</f>
        <v>40</v>
      </c>
      <c r="E18" s="43">
        <f>'Resumo dos cursos'!H17</f>
        <v>12</v>
      </c>
      <c r="F18" s="40">
        <f t="shared" si="1"/>
        <v>30</v>
      </c>
      <c r="G18" s="43">
        <f>'Resumo dos cursos'!J17</f>
        <v>4</v>
      </c>
      <c r="H18" s="43">
        <f>'Resumo dos cursos'!K17</f>
        <v>2</v>
      </c>
      <c r="I18" s="43">
        <f>'Resumo dos cursos'!L17</f>
        <v>0</v>
      </c>
      <c r="J18" s="44">
        <f>'Resumo dos cursos'!M17</f>
        <v>22</v>
      </c>
    </row>
    <row r="19" spans="1:10" ht="38.25" x14ac:dyDescent="0.25">
      <c r="A19" s="54" t="str">
        <f>IF('Controle adm. dos cursos'!C18=2021,'Controle adm. dos cursos'!B18," ")</f>
        <v>Conhecimentos Fundamentais para Gestores Municipais de Proteção e Defesa Civil - TURMA II 2021</v>
      </c>
      <c r="B19" s="71"/>
      <c r="C19" s="43">
        <f>'Resumo dos cursos'!F18</f>
        <v>34</v>
      </c>
      <c r="D19" s="43">
        <f>'Resumo dos cursos'!G18</f>
        <v>34</v>
      </c>
      <c r="E19" s="43">
        <f>'Resumo dos cursos'!H18</f>
        <v>22</v>
      </c>
      <c r="F19" s="40">
        <f>IFERROR(((E19*100)/D19),0)</f>
        <v>64.705882352941174</v>
      </c>
      <c r="G19" s="43">
        <f>'Resumo dos cursos'!J18</f>
        <v>1</v>
      </c>
      <c r="H19" s="43">
        <f>'Resumo dos cursos'!K18</f>
        <v>0</v>
      </c>
      <c r="I19" s="43">
        <f>'Resumo dos cursos'!L18</f>
        <v>11</v>
      </c>
      <c r="J19" s="44">
        <f>'Resumo dos cursos'!M18</f>
        <v>0</v>
      </c>
    </row>
    <row r="20" spans="1:10" ht="25.5" x14ac:dyDescent="0.25">
      <c r="A20" s="54" t="str">
        <f>IF('Controle adm. dos cursos'!C19=2021,'Controle adm. dos cursos'!B19," ")</f>
        <v>Sistema de Comando de Incidentes - Turma: COSMO - 2021</v>
      </c>
      <c r="B20" s="71"/>
      <c r="C20" s="43">
        <f>'Resumo dos cursos'!F19</f>
        <v>41</v>
      </c>
      <c r="D20" s="43">
        <f>'Resumo dos cursos'!G19</f>
        <v>41</v>
      </c>
      <c r="E20" s="43">
        <f>'Resumo dos cursos'!H19</f>
        <v>0</v>
      </c>
      <c r="F20" s="40">
        <f>IFERROR(((E20*100)/D20),0)</f>
        <v>0</v>
      </c>
      <c r="G20" s="43">
        <f>'Resumo dos cursos'!J19</f>
        <v>0</v>
      </c>
      <c r="H20" s="43">
        <f>'Resumo dos cursos'!K19</f>
        <v>0</v>
      </c>
      <c r="I20" s="43">
        <f>'Resumo dos cursos'!L19</f>
        <v>0</v>
      </c>
      <c r="J20" s="44">
        <f>'Resumo dos cursos'!M19</f>
        <v>0</v>
      </c>
    </row>
    <row r="21" spans="1:10" x14ac:dyDescent="0.25">
      <c r="A21" s="54" t="str">
        <f>IF('Controle adm. dos cursos'!C20=2021,'Controle adm. dos cursos'!B20," ")</f>
        <v xml:space="preserve"> </v>
      </c>
      <c r="B21" s="71"/>
      <c r="C21" s="43">
        <f>'Resumo dos cursos'!F20</f>
        <v>0</v>
      </c>
      <c r="D21" s="43">
        <f>'Resumo dos cursos'!G20</f>
        <v>0</v>
      </c>
      <c r="E21" s="43">
        <f>'Resumo dos cursos'!H20</f>
        <v>0</v>
      </c>
      <c r="F21" s="40">
        <f>IFERROR(((E21*100)/D21),0)</f>
        <v>0</v>
      </c>
      <c r="G21" s="43">
        <f>'Resumo dos cursos'!J20</f>
        <v>0</v>
      </c>
      <c r="H21" s="43">
        <f>'Resumo dos cursos'!K20</f>
        <v>0</v>
      </c>
      <c r="I21" s="43">
        <f>'Resumo dos cursos'!L20</f>
        <v>0</v>
      </c>
      <c r="J21" s="44">
        <f>'Resumo dos cursos'!M20</f>
        <v>0</v>
      </c>
    </row>
    <row r="22" spans="1:10" x14ac:dyDescent="0.25">
      <c r="A22" s="54" t="str">
        <f>IF('Controle adm. dos cursos'!C21=2021,'Controle adm. dos cursos'!B21," ")</f>
        <v xml:space="preserve"> </v>
      </c>
      <c r="B22" s="71"/>
      <c r="C22" s="43">
        <f>'Resumo dos cursos'!F21</f>
        <v>0</v>
      </c>
      <c r="D22" s="43">
        <f>'Resumo dos cursos'!G21</f>
        <v>0</v>
      </c>
      <c r="E22" s="43">
        <f>'Resumo dos cursos'!H21</f>
        <v>0</v>
      </c>
      <c r="F22" s="40">
        <f>IFERROR(((E22*100)/D22),0)</f>
        <v>0</v>
      </c>
      <c r="G22" s="43">
        <f>'Resumo dos cursos'!J21</f>
        <v>0</v>
      </c>
      <c r="H22" s="43">
        <f>'Resumo dos cursos'!K21</f>
        <v>0</v>
      </c>
      <c r="I22" s="43">
        <f>'Resumo dos cursos'!L21</f>
        <v>0</v>
      </c>
      <c r="J22" s="44">
        <f>'Resumo dos cursos'!M21</f>
        <v>0</v>
      </c>
    </row>
    <row r="23" spans="1:10" ht="15" thickBot="1" x14ac:dyDescent="0.3">
      <c r="A23" s="102" t="str">
        <f>IF('Controle adm. dos cursos'!C22=2021,'Controle adm. dos cursos'!B22," ")</f>
        <v xml:space="preserve"> </v>
      </c>
      <c r="B23" s="103"/>
      <c r="C23" s="104">
        <f>'Resumo dos cursos'!F22</f>
        <v>0</v>
      </c>
      <c r="D23" s="104">
        <f>'Resumo dos cursos'!G22</f>
        <v>0</v>
      </c>
      <c r="E23" s="104">
        <f>'Resumo dos cursos'!H22</f>
        <v>0</v>
      </c>
      <c r="F23" s="63">
        <f>IFERROR(((E23*100)/D23),0)</f>
        <v>0</v>
      </c>
      <c r="G23" s="104">
        <f>'Resumo dos cursos'!J22</f>
        <v>0</v>
      </c>
      <c r="H23" s="104">
        <f>'Resumo dos cursos'!K22</f>
        <v>0</v>
      </c>
      <c r="I23" s="104">
        <f>'Resumo dos cursos'!L22</f>
        <v>0</v>
      </c>
      <c r="J23" s="105">
        <f>'Resumo dos cursos'!M22</f>
        <v>0</v>
      </c>
    </row>
    <row r="24" spans="1:10" x14ac:dyDescent="0.25">
      <c r="A24" s="36"/>
      <c r="E24" s="76"/>
      <c r="F24" s="36"/>
    </row>
    <row r="25" spans="1:10" x14ac:dyDescent="0.25">
      <c r="A25" s="36"/>
      <c r="E25" s="76"/>
      <c r="F25" s="36"/>
    </row>
    <row r="26" spans="1:10" x14ac:dyDescent="0.25">
      <c r="A26" s="36"/>
      <c r="E26" s="76"/>
      <c r="F26" s="36"/>
    </row>
    <row r="27" spans="1:10" x14ac:dyDescent="0.25">
      <c r="A27" s="36"/>
      <c r="E27" s="76"/>
      <c r="F27" s="36"/>
    </row>
  </sheetData>
  <mergeCells count="3">
    <mergeCell ref="A1:J1"/>
    <mergeCell ref="B2:B3"/>
    <mergeCell ref="C2:J2"/>
  </mergeCells>
  <conditionalFormatting sqref="F5:F23">
    <cfRule type="cellIs" dxfId="0" priority="1" operator="equal">
      <formula>0</formula>
    </cfRule>
    <cfRule type="cellIs" priority="2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landscape" horizontalDpi="4294967294" verticalDpi="4294967294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="145" zoomScaleNormal="145" workbookViewId="0">
      <selection activeCell="F18" sqref="F18"/>
    </sheetView>
  </sheetViews>
  <sheetFormatPr defaultRowHeight="14.25" x14ac:dyDescent="0.25"/>
  <cols>
    <col min="1" max="1" width="35.42578125" style="50" bestFit="1" customWidth="1"/>
    <col min="2" max="2" width="11.5703125" style="36" customWidth="1"/>
    <col min="3" max="3" width="8.42578125" style="36" bestFit="1" customWidth="1"/>
    <col min="4" max="4" width="12.5703125" style="36" bestFit="1" customWidth="1"/>
    <col min="5" max="5" width="9.7109375" style="36" bestFit="1" customWidth="1"/>
    <col min="6" max="6" width="7.85546875" style="76" bestFit="1" customWidth="1"/>
    <col min="7" max="16384" width="9.140625" style="36"/>
  </cols>
  <sheetData>
    <row r="1" spans="1:6" ht="53.25" customHeight="1" thickBot="1" x14ac:dyDescent="0.3">
      <c r="A1" s="125" t="s">
        <v>45</v>
      </c>
      <c r="B1" s="126"/>
      <c r="C1" s="126"/>
      <c r="D1" s="126"/>
      <c r="E1" s="126"/>
      <c r="F1" s="127"/>
    </row>
    <row r="2" spans="1:6" x14ac:dyDescent="0.25">
      <c r="A2" s="122" t="s">
        <v>93</v>
      </c>
      <c r="B2" s="123"/>
      <c r="C2" s="123"/>
      <c r="D2" s="123"/>
      <c r="E2" s="123"/>
      <c r="F2" s="124"/>
    </row>
    <row r="3" spans="1:6" x14ac:dyDescent="0.25">
      <c r="A3" s="122" t="s">
        <v>94</v>
      </c>
      <c r="B3" s="123"/>
      <c r="C3" s="123"/>
      <c r="D3" s="123"/>
      <c r="E3" s="123"/>
      <c r="F3" s="124"/>
    </row>
    <row r="4" spans="1:6" x14ac:dyDescent="0.25">
      <c r="A4" s="122" t="s">
        <v>95</v>
      </c>
      <c r="B4" s="123"/>
      <c r="C4" s="123"/>
      <c r="D4" s="123"/>
      <c r="E4" s="123"/>
      <c r="F4" s="124"/>
    </row>
    <row r="5" spans="1:6" ht="15" customHeight="1" x14ac:dyDescent="0.25">
      <c r="A5" s="122" t="s">
        <v>83</v>
      </c>
      <c r="B5" s="123"/>
      <c r="C5" s="123"/>
      <c r="D5" s="123"/>
      <c r="E5" s="123"/>
      <c r="F5" s="124"/>
    </row>
    <row r="6" spans="1:6" ht="15" customHeight="1" x14ac:dyDescent="0.25">
      <c r="A6" s="122" t="s">
        <v>96</v>
      </c>
      <c r="B6" s="123"/>
      <c r="C6" s="123"/>
      <c r="D6" s="123"/>
      <c r="E6" s="123"/>
      <c r="F6" s="124"/>
    </row>
    <row r="7" spans="1:6" ht="15" thickBot="1" x14ac:dyDescent="0.3">
      <c r="A7" s="119" t="s">
        <v>97</v>
      </c>
      <c r="B7" s="120"/>
      <c r="C7" s="120"/>
      <c r="D7" s="120"/>
      <c r="E7" s="120"/>
      <c r="F7" s="121"/>
    </row>
    <row r="9" spans="1:6" ht="15" customHeight="1" x14ac:dyDescent="0.25"/>
    <row r="10" spans="1:6" ht="15" customHeight="1" x14ac:dyDescent="0.25"/>
    <row r="11" spans="1:6" ht="15" customHeight="1" x14ac:dyDescent="0.25"/>
    <row r="12" spans="1:6" ht="15.75" customHeight="1" x14ac:dyDescent="0.25"/>
  </sheetData>
  <mergeCells count="7">
    <mergeCell ref="A7:F7"/>
    <mergeCell ref="A5:F5"/>
    <mergeCell ref="A6:F6"/>
    <mergeCell ref="A1:F1"/>
    <mergeCell ref="A2:F2"/>
    <mergeCell ref="A3:F3"/>
    <mergeCell ref="A4:F4"/>
  </mergeCell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Controle adm. dos cursos</vt:lpstr>
      <vt:lpstr>tabelas dinâmicas</vt:lpstr>
      <vt:lpstr>Dashboard</vt:lpstr>
      <vt:lpstr>Resumo dos cursos</vt:lpstr>
      <vt:lpstr>Resultados</vt:lpstr>
      <vt:lpstr>2019</vt:lpstr>
      <vt:lpstr>2020</vt:lpstr>
      <vt:lpstr>2021</vt:lpstr>
      <vt:lpstr>Cursos ofertados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Frates Simiano</dc:creator>
  <cp:lastModifiedBy>FABIO DELEK</cp:lastModifiedBy>
  <cp:lastPrinted>2021-08-23T12:42:57Z</cp:lastPrinted>
  <dcterms:created xsi:type="dcterms:W3CDTF">2017-11-21T16:49:37Z</dcterms:created>
  <dcterms:modified xsi:type="dcterms:W3CDTF">2021-08-31T14:16:26Z</dcterms:modified>
</cp:coreProperties>
</file>