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delek\Desktop\"/>
    </mc:Choice>
  </mc:AlternateContent>
  <bookViews>
    <workbookView xWindow="0" yWindow="0" windowWidth="16380" windowHeight="8190" tabRatio="500" activeTab="1"/>
  </bookViews>
  <sheets>
    <sheet name="Controle adm. dos cursos" sheetId="1" r:id="rId1"/>
    <sheet name="Resumo dos cursos" sheetId="2" r:id="rId2"/>
    <sheet name="Resultados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  <sheet name="Cursos ofertados" sheetId="11" r:id="rId11"/>
  </sheets>
  <definedNames>
    <definedName name="_xlnm.Print_Titles" localSheetId="6">'2022'!$1:$7</definedName>
  </definedName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14" i="10" l="1"/>
  <c r="B114" i="10"/>
  <c r="C114" i="10"/>
  <c r="D114" i="10"/>
  <c r="F114" i="10" s="1"/>
  <c r="E114" i="10"/>
  <c r="G114" i="10"/>
  <c r="H114" i="10"/>
  <c r="I114" i="10"/>
  <c r="J114" i="10"/>
  <c r="G115" i="2"/>
  <c r="G116" i="2"/>
  <c r="G117" i="2"/>
  <c r="G118" i="2"/>
  <c r="G119" i="2"/>
  <c r="G120" i="2"/>
  <c r="G121" i="2"/>
  <c r="F115" i="2"/>
  <c r="F116" i="2"/>
  <c r="F117" i="2"/>
  <c r="F118" i="2"/>
  <c r="F119" i="2"/>
  <c r="F120" i="2"/>
  <c r="F121" i="2"/>
  <c r="E115" i="2"/>
  <c r="E116" i="2"/>
  <c r="E117" i="2"/>
  <c r="E118" i="2"/>
  <c r="E119" i="2"/>
  <c r="E120" i="2"/>
  <c r="E121" i="2"/>
  <c r="D115" i="2"/>
  <c r="D116" i="2"/>
  <c r="D117" i="2"/>
  <c r="D118" i="2"/>
  <c r="D119" i="2"/>
  <c r="D120" i="2"/>
  <c r="D121" i="2"/>
  <c r="C115" i="2"/>
  <c r="C116" i="2"/>
  <c r="C117" i="2"/>
  <c r="C118" i="2"/>
  <c r="C119" i="2"/>
  <c r="C120" i="2"/>
  <c r="C121" i="2"/>
  <c r="B116" i="2"/>
  <c r="B117" i="2"/>
  <c r="B118" i="2"/>
  <c r="B119" i="2"/>
  <c r="B120" i="2"/>
  <c r="B121" i="2"/>
  <c r="B115" i="2"/>
  <c r="A116" i="2"/>
  <c r="A117" i="2"/>
  <c r="A118" i="2"/>
  <c r="A119" i="2"/>
  <c r="A120" i="2"/>
  <c r="A121" i="2"/>
  <c r="A115" i="2"/>
  <c r="A112" i="10" l="1"/>
  <c r="B112" i="10"/>
  <c r="C112" i="10"/>
  <c r="D112" i="10"/>
  <c r="E112" i="10"/>
  <c r="G112" i="10"/>
  <c r="H112" i="10"/>
  <c r="I112" i="10"/>
  <c r="J112" i="10"/>
  <c r="A113" i="10"/>
  <c r="B113" i="10"/>
  <c r="C113" i="10"/>
  <c r="D113" i="10"/>
  <c r="E113" i="10"/>
  <c r="F113" i="10" s="1"/>
  <c r="G113" i="10"/>
  <c r="H113" i="10"/>
  <c r="I113" i="10"/>
  <c r="J113" i="10"/>
  <c r="A115" i="10"/>
  <c r="B115" i="10"/>
  <c r="C115" i="10"/>
  <c r="D115" i="10"/>
  <c r="E115" i="10"/>
  <c r="G115" i="10"/>
  <c r="H115" i="10"/>
  <c r="I115" i="10"/>
  <c r="J115" i="10"/>
  <c r="A116" i="10"/>
  <c r="B116" i="10"/>
  <c r="C116" i="10"/>
  <c r="D116" i="10"/>
  <c r="E116" i="10"/>
  <c r="G116" i="10"/>
  <c r="H116" i="10"/>
  <c r="I116" i="10"/>
  <c r="J116" i="10"/>
  <c r="A117" i="10"/>
  <c r="B117" i="10"/>
  <c r="C117" i="10"/>
  <c r="D117" i="10"/>
  <c r="E117" i="10"/>
  <c r="G117" i="10"/>
  <c r="H117" i="10"/>
  <c r="I117" i="10"/>
  <c r="J117" i="10"/>
  <c r="A118" i="10"/>
  <c r="B118" i="10"/>
  <c r="C118" i="10"/>
  <c r="D118" i="10"/>
  <c r="E118" i="10"/>
  <c r="F118" i="10"/>
  <c r="G118" i="10"/>
  <c r="H118" i="10"/>
  <c r="I118" i="10"/>
  <c r="J118" i="10"/>
  <c r="G113" i="2"/>
  <c r="G114" i="2"/>
  <c r="F113" i="2"/>
  <c r="F114" i="2"/>
  <c r="E113" i="2"/>
  <c r="E114" i="2"/>
  <c r="D113" i="2"/>
  <c r="D114" i="2"/>
  <c r="C113" i="2"/>
  <c r="C114" i="2"/>
  <c r="B113" i="2"/>
  <c r="B114" i="2"/>
  <c r="A113" i="2"/>
  <c r="A114" i="2"/>
  <c r="F112" i="10" l="1"/>
  <c r="F117" i="10"/>
  <c r="F116" i="10"/>
  <c r="F115" i="10"/>
  <c r="A110" i="10"/>
  <c r="A111" i="10"/>
  <c r="B110" i="10"/>
  <c r="C110" i="10"/>
  <c r="D110" i="10"/>
  <c r="E110" i="10"/>
  <c r="G110" i="10"/>
  <c r="H110" i="10"/>
  <c r="I110" i="10"/>
  <c r="J110" i="10"/>
  <c r="G111" i="2"/>
  <c r="G112" i="2"/>
  <c r="F111" i="2"/>
  <c r="F112" i="2"/>
  <c r="E111" i="2"/>
  <c r="E112" i="2"/>
  <c r="D111" i="2"/>
  <c r="D112" i="2"/>
  <c r="B111" i="2"/>
  <c r="B112" i="2"/>
  <c r="C111" i="2"/>
  <c r="C112" i="2"/>
  <c r="A112" i="2"/>
  <c r="A111" i="2"/>
  <c r="F110" i="10" l="1"/>
  <c r="B111" i="10"/>
  <c r="C111" i="10"/>
  <c r="D111" i="10"/>
  <c r="E111" i="10"/>
  <c r="G111" i="10"/>
  <c r="H111" i="10"/>
  <c r="I111" i="10"/>
  <c r="J111" i="10"/>
  <c r="F111" i="10" l="1"/>
  <c r="A110" i="2"/>
  <c r="Q47" i="2" l="1"/>
  <c r="Q46" i="2"/>
  <c r="J47" i="8"/>
  <c r="J48" i="8"/>
  <c r="J49" i="8"/>
  <c r="J50" i="8"/>
  <c r="J51" i="8"/>
  <c r="J52" i="8"/>
  <c r="J53" i="8"/>
  <c r="J54" i="8"/>
  <c r="I47" i="8"/>
  <c r="I48" i="8"/>
  <c r="I49" i="8"/>
  <c r="I50" i="8"/>
  <c r="I51" i="8"/>
  <c r="I52" i="8"/>
  <c r="I53" i="8"/>
  <c r="I54" i="8"/>
  <c r="H47" i="8"/>
  <c r="H48" i="8"/>
  <c r="H49" i="8"/>
  <c r="H50" i="8"/>
  <c r="H51" i="8"/>
  <c r="H52" i="8"/>
  <c r="H53" i="8"/>
  <c r="H54" i="8"/>
  <c r="G47" i="8"/>
  <c r="G48" i="8"/>
  <c r="G49" i="8"/>
  <c r="G50" i="8"/>
  <c r="G51" i="8"/>
  <c r="G52" i="8"/>
  <c r="G53" i="8"/>
  <c r="G54" i="8"/>
  <c r="E47" i="8"/>
  <c r="E48" i="8"/>
  <c r="E49" i="8"/>
  <c r="E50" i="8"/>
  <c r="E51" i="8"/>
  <c r="E52" i="8"/>
  <c r="E53" i="8"/>
  <c r="E54" i="8"/>
  <c r="D47" i="8"/>
  <c r="D48" i="8"/>
  <c r="D49" i="8"/>
  <c r="D50" i="8"/>
  <c r="D51" i="8"/>
  <c r="D52" i="8"/>
  <c r="D53" i="8"/>
  <c r="D54" i="8"/>
  <c r="C47" i="8"/>
  <c r="C48" i="8"/>
  <c r="C49" i="8"/>
  <c r="C50" i="8"/>
  <c r="C51" i="8"/>
  <c r="C52" i="8"/>
  <c r="C53" i="8"/>
  <c r="C54" i="8"/>
  <c r="B47" i="8"/>
  <c r="B48" i="8"/>
  <c r="B49" i="8"/>
  <c r="B50" i="8"/>
  <c r="B51" i="8"/>
  <c r="B52" i="8"/>
  <c r="B53" i="8"/>
  <c r="B54" i="8"/>
  <c r="A47" i="8"/>
  <c r="A48" i="8"/>
  <c r="A49" i="8"/>
  <c r="A50" i="8"/>
  <c r="A51" i="8"/>
  <c r="A52" i="8"/>
  <c r="A53" i="8"/>
  <c r="A54" i="8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B47" i="2"/>
  <c r="A47" i="2"/>
  <c r="A48" i="2"/>
  <c r="F51" i="8" l="1"/>
  <c r="F54" i="8"/>
  <c r="F50" i="8"/>
  <c r="F49" i="8"/>
  <c r="F53" i="8"/>
  <c r="F52" i="8"/>
  <c r="F48" i="8"/>
  <c r="F47" i="8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3" i="2"/>
  <c r="Q104" i="2" l="1"/>
  <c r="Q105" i="2"/>
  <c r="Q106" i="2"/>
  <c r="Q107" i="2"/>
  <c r="Q108" i="2"/>
  <c r="Q109" i="2"/>
  <c r="Q110" i="2"/>
  <c r="Q112" i="2"/>
  <c r="Q116" i="2"/>
  <c r="Q117" i="2"/>
  <c r="Q118" i="2"/>
  <c r="Q119" i="2"/>
  <c r="Q120" i="2"/>
  <c r="Q121" i="2"/>
  <c r="A103" i="10" l="1"/>
  <c r="B103" i="10"/>
  <c r="C103" i="10"/>
  <c r="D103" i="10"/>
  <c r="E103" i="10"/>
  <c r="G103" i="10"/>
  <c r="H103" i="10"/>
  <c r="I103" i="10"/>
  <c r="J103" i="10"/>
  <c r="A104" i="10"/>
  <c r="B104" i="10"/>
  <c r="C104" i="10"/>
  <c r="D104" i="10"/>
  <c r="E104" i="10"/>
  <c r="G104" i="10"/>
  <c r="H104" i="10"/>
  <c r="I104" i="10"/>
  <c r="J104" i="10"/>
  <c r="A105" i="10"/>
  <c r="B105" i="10"/>
  <c r="C105" i="10"/>
  <c r="D105" i="10"/>
  <c r="E105" i="10"/>
  <c r="G105" i="10"/>
  <c r="H105" i="10"/>
  <c r="I105" i="10"/>
  <c r="J105" i="10"/>
  <c r="A106" i="10"/>
  <c r="B106" i="10"/>
  <c r="C106" i="10"/>
  <c r="D106" i="10"/>
  <c r="E106" i="10"/>
  <c r="G106" i="10"/>
  <c r="H106" i="10"/>
  <c r="I106" i="10"/>
  <c r="J106" i="10"/>
  <c r="A107" i="10"/>
  <c r="B107" i="10"/>
  <c r="C107" i="10"/>
  <c r="D107" i="10"/>
  <c r="E107" i="10"/>
  <c r="G107" i="10"/>
  <c r="H107" i="10"/>
  <c r="I107" i="10"/>
  <c r="J107" i="10"/>
  <c r="A108" i="10"/>
  <c r="B108" i="10"/>
  <c r="C108" i="10"/>
  <c r="D108" i="10"/>
  <c r="E108" i="10"/>
  <c r="G108" i="10"/>
  <c r="H108" i="10"/>
  <c r="I108" i="10"/>
  <c r="J108" i="10"/>
  <c r="A109" i="10"/>
  <c r="B109" i="10"/>
  <c r="C109" i="10"/>
  <c r="D109" i="10"/>
  <c r="E109" i="10"/>
  <c r="G109" i="10"/>
  <c r="H109" i="10"/>
  <c r="I109" i="10"/>
  <c r="J109" i="10"/>
  <c r="A100" i="10"/>
  <c r="A101" i="10"/>
  <c r="A102" i="10"/>
  <c r="A94" i="10"/>
  <c r="B94" i="10"/>
  <c r="C94" i="10"/>
  <c r="D94" i="10"/>
  <c r="E94" i="10"/>
  <c r="G94" i="10"/>
  <c r="H94" i="10"/>
  <c r="I94" i="10"/>
  <c r="J94" i="10"/>
  <c r="A95" i="10"/>
  <c r="B95" i="10"/>
  <c r="C95" i="10"/>
  <c r="D95" i="10"/>
  <c r="E95" i="10"/>
  <c r="G95" i="10"/>
  <c r="H95" i="10"/>
  <c r="I95" i="10"/>
  <c r="J95" i="10"/>
  <c r="A96" i="10"/>
  <c r="B96" i="10"/>
  <c r="C96" i="10"/>
  <c r="D96" i="10"/>
  <c r="E96" i="10"/>
  <c r="G96" i="10"/>
  <c r="H96" i="10"/>
  <c r="I96" i="10"/>
  <c r="J96" i="10"/>
  <c r="A97" i="10"/>
  <c r="B97" i="10"/>
  <c r="C97" i="10"/>
  <c r="D97" i="10"/>
  <c r="E97" i="10"/>
  <c r="G97" i="10"/>
  <c r="H97" i="10"/>
  <c r="I97" i="10"/>
  <c r="J97" i="10"/>
  <c r="A98" i="10"/>
  <c r="B98" i="10"/>
  <c r="C98" i="10"/>
  <c r="D98" i="10"/>
  <c r="E98" i="10"/>
  <c r="G98" i="10"/>
  <c r="H98" i="10"/>
  <c r="I98" i="10"/>
  <c r="J98" i="10"/>
  <c r="A99" i="10"/>
  <c r="B99" i="10"/>
  <c r="C99" i="10"/>
  <c r="D99" i="10"/>
  <c r="E99" i="10"/>
  <c r="G99" i="10"/>
  <c r="H99" i="10"/>
  <c r="I99" i="10"/>
  <c r="J99" i="10"/>
  <c r="B100" i="10"/>
  <c r="C100" i="10"/>
  <c r="D100" i="10"/>
  <c r="E100" i="10"/>
  <c r="G100" i="10"/>
  <c r="H100" i="10"/>
  <c r="I100" i="10"/>
  <c r="J100" i="10"/>
  <c r="B101" i="10"/>
  <c r="C101" i="10"/>
  <c r="D101" i="10"/>
  <c r="E101" i="10"/>
  <c r="G101" i="10"/>
  <c r="H101" i="10"/>
  <c r="I101" i="10"/>
  <c r="J101" i="10"/>
  <c r="B102" i="10"/>
  <c r="C102" i="10"/>
  <c r="D102" i="10"/>
  <c r="E102" i="10"/>
  <c r="G102" i="10"/>
  <c r="H102" i="10"/>
  <c r="I102" i="10"/>
  <c r="J102" i="10"/>
  <c r="F103" i="10" l="1"/>
  <c r="F104" i="10"/>
  <c r="F108" i="10"/>
  <c r="F98" i="10"/>
  <c r="F107" i="10"/>
  <c r="F94" i="10"/>
  <c r="F109" i="10"/>
  <c r="F97" i="10"/>
  <c r="F96" i="10"/>
  <c r="F95" i="10"/>
  <c r="F99" i="10"/>
  <c r="F106" i="10"/>
  <c r="F105" i="10"/>
  <c r="F102" i="10"/>
  <c r="F101" i="10"/>
  <c r="F100" i="10"/>
  <c r="E3" i="2"/>
  <c r="J7" i="3" l="1"/>
  <c r="J6" i="3"/>
  <c r="J5" i="3"/>
  <c r="I7" i="3"/>
  <c r="I6" i="3"/>
  <c r="I5" i="3"/>
  <c r="H7" i="3"/>
  <c r="H6" i="3"/>
  <c r="H5" i="3"/>
  <c r="G7" i="3"/>
  <c r="G6" i="3"/>
  <c r="G5" i="3"/>
  <c r="E7" i="3"/>
  <c r="E6" i="3"/>
  <c r="E5" i="3"/>
  <c r="D7" i="3"/>
  <c r="D6" i="3"/>
  <c r="D5" i="3"/>
  <c r="C5" i="3"/>
  <c r="C7" i="3"/>
  <c r="C6" i="3"/>
  <c r="J13" i="3"/>
  <c r="J12" i="3"/>
  <c r="J11" i="3"/>
  <c r="J10" i="3"/>
  <c r="J9" i="3"/>
  <c r="J8" i="3"/>
  <c r="J14" i="3"/>
  <c r="I13" i="3"/>
  <c r="I12" i="3"/>
  <c r="I11" i="3"/>
  <c r="I10" i="3"/>
  <c r="I9" i="3"/>
  <c r="I8" i="3"/>
  <c r="I14" i="3"/>
  <c r="H13" i="3"/>
  <c r="H12" i="3"/>
  <c r="H11" i="3"/>
  <c r="H10" i="3"/>
  <c r="H9" i="3"/>
  <c r="H8" i="3"/>
  <c r="H14" i="3"/>
  <c r="C9" i="3"/>
  <c r="C10" i="3"/>
  <c r="C11" i="3"/>
  <c r="C12" i="3"/>
  <c r="C13" i="3"/>
  <c r="C14" i="3"/>
  <c r="C8" i="3"/>
  <c r="G13" i="3"/>
  <c r="G12" i="3"/>
  <c r="G11" i="3"/>
  <c r="G10" i="3"/>
  <c r="G9" i="3"/>
  <c r="G8" i="3"/>
  <c r="G14" i="3"/>
  <c r="E13" i="3"/>
  <c r="E12" i="3"/>
  <c r="E11" i="3"/>
  <c r="E10" i="3"/>
  <c r="E9" i="3"/>
  <c r="E8" i="3"/>
  <c r="E14" i="3"/>
  <c r="D13" i="3"/>
  <c r="D12" i="3"/>
  <c r="D11" i="3"/>
  <c r="D10" i="3"/>
  <c r="D9" i="3"/>
  <c r="D8" i="3"/>
  <c r="D14" i="3"/>
  <c r="F14" i="3" l="1"/>
  <c r="Q90" i="2"/>
  <c r="Q91" i="2"/>
  <c r="Q92" i="2"/>
  <c r="Q93" i="2"/>
  <c r="Q94" i="2"/>
  <c r="Q95" i="2"/>
  <c r="Q96" i="2"/>
  <c r="Q97" i="2"/>
  <c r="Q99" i="2"/>
  <c r="Q98" i="2"/>
  <c r="Q101" i="2"/>
  <c r="Q102" i="2"/>
  <c r="Q103" i="2"/>
  <c r="B3" i="2" l="1"/>
  <c r="J93" i="10"/>
  <c r="I93" i="10"/>
  <c r="H93" i="10"/>
  <c r="G93" i="10"/>
  <c r="E93" i="10"/>
  <c r="D93" i="10"/>
  <c r="C93" i="10"/>
  <c r="B93" i="10"/>
  <c r="A93" i="10"/>
  <c r="J92" i="10"/>
  <c r="I92" i="10"/>
  <c r="H92" i="10"/>
  <c r="G92" i="10"/>
  <c r="E92" i="10"/>
  <c r="D92" i="10"/>
  <c r="C92" i="10"/>
  <c r="B92" i="10"/>
  <c r="A92" i="10"/>
  <c r="J91" i="10"/>
  <c r="I91" i="10"/>
  <c r="H91" i="10"/>
  <c r="G91" i="10"/>
  <c r="E91" i="10"/>
  <c r="D91" i="10"/>
  <c r="C91" i="10"/>
  <c r="B91" i="10"/>
  <c r="A91" i="10"/>
  <c r="J90" i="10"/>
  <c r="I90" i="10"/>
  <c r="H90" i="10"/>
  <c r="G90" i="10"/>
  <c r="E90" i="10"/>
  <c r="D90" i="10"/>
  <c r="C90" i="10"/>
  <c r="B90" i="10"/>
  <c r="A90" i="10"/>
  <c r="J89" i="10"/>
  <c r="I89" i="10"/>
  <c r="H89" i="10"/>
  <c r="G89" i="10"/>
  <c r="E89" i="10"/>
  <c r="D89" i="10"/>
  <c r="C89" i="10"/>
  <c r="B89" i="10"/>
  <c r="A89" i="10"/>
  <c r="J88" i="10"/>
  <c r="I88" i="10"/>
  <c r="H88" i="10"/>
  <c r="G88" i="10"/>
  <c r="E88" i="10"/>
  <c r="D88" i="10"/>
  <c r="C88" i="10"/>
  <c r="B88" i="10"/>
  <c r="A88" i="10"/>
  <c r="J87" i="10"/>
  <c r="I87" i="10"/>
  <c r="H87" i="10"/>
  <c r="G87" i="10"/>
  <c r="E87" i="10"/>
  <c r="D87" i="10"/>
  <c r="C87" i="10"/>
  <c r="B87" i="10"/>
  <c r="A87" i="10"/>
  <c r="J86" i="10"/>
  <c r="I86" i="10"/>
  <c r="H86" i="10"/>
  <c r="G86" i="10"/>
  <c r="E86" i="10"/>
  <c r="D86" i="10"/>
  <c r="C86" i="10"/>
  <c r="B86" i="10"/>
  <c r="A86" i="10"/>
  <c r="J85" i="10"/>
  <c r="I85" i="10"/>
  <c r="H85" i="10"/>
  <c r="G85" i="10"/>
  <c r="E85" i="10"/>
  <c r="D85" i="10"/>
  <c r="C85" i="10"/>
  <c r="B85" i="10"/>
  <c r="A85" i="10"/>
  <c r="J84" i="10"/>
  <c r="I84" i="10"/>
  <c r="H84" i="10"/>
  <c r="G84" i="10"/>
  <c r="E84" i="10"/>
  <c r="D84" i="10"/>
  <c r="C84" i="10"/>
  <c r="B84" i="10"/>
  <c r="A84" i="10"/>
  <c r="J83" i="10"/>
  <c r="I83" i="10"/>
  <c r="H83" i="10"/>
  <c r="G83" i="10"/>
  <c r="E83" i="10"/>
  <c r="D83" i="10"/>
  <c r="C83" i="10"/>
  <c r="B83" i="10"/>
  <c r="A83" i="10"/>
  <c r="J82" i="10"/>
  <c r="I82" i="10"/>
  <c r="H82" i="10"/>
  <c r="G82" i="10"/>
  <c r="E82" i="10"/>
  <c r="D82" i="10"/>
  <c r="C82" i="10"/>
  <c r="B82" i="10"/>
  <c r="A82" i="10"/>
  <c r="J81" i="10"/>
  <c r="I81" i="10"/>
  <c r="H81" i="10"/>
  <c r="G81" i="10"/>
  <c r="E81" i="10"/>
  <c r="D81" i="10"/>
  <c r="C81" i="10"/>
  <c r="B81" i="10"/>
  <c r="A81" i="10"/>
  <c r="J80" i="10"/>
  <c r="I80" i="10"/>
  <c r="H80" i="10"/>
  <c r="G80" i="10"/>
  <c r="E80" i="10"/>
  <c r="D80" i="10"/>
  <c r="C80" i="10"/>
  <c r="B80" i="10"/>
  <c r="A80" i="10"/>
  <c r="J79" i="10"/>
  <c r="I79" i="10"/>
  <c r="H79" i="10"/>
  <c r="G79" i="10"/>
  <c r="E79" i="10"/>
  <c r="D79" i="10"/>
  <c r="C79" i="10"/>
  <c r="B79" i="10"/>
  <c r="A79" i="10"/>
  <c r="J78" i="10"/>
  <c r="I78" i="10"/>
  <c r="H78" i="10"/>
  <c r="G78" i="10"/>
  <c r="E78" i="10"/>
  <c r="D78" i="10"/>
  <c r="C78" i="10"/>
  <c r="B78" i="10"/>
  <c r="A78" i="10"/>
  <c r="J77" i="10"/>
  <c r="I77" i="10"/>
  <c r="H77" i="10"/>
  <c r="G77" i="10"/>
  <c r="E77" i="10"/>
  <c r="D77" i="10"/>
  <c r="C77" i="10"/>
  <c r="B77" i="10"/>
  <c r="A77" i="10"/>
  <c r="J76" i="10"/>
  <c r="I76" i="10"/>
  <c r="H76" i="10"/>
  <c r="G76" i="10"/>
  <c r="E76" i="10"/>
  <c r="D76" i="10"/>
  <c r="C76" i="10"/>
  <c r="B76" i="10"/>
  <c r="A76" i="10"/>
  <c r="J75" i="10"/>
  <c r="I75" i="10"/>
  <c r="H75" i="10"/>
  <c r="G75" i="10"/>
  <c r="E75" i="10"/>
  <c r="D75" i="10"/>
  <c r="C75" i="10"/>
  <c r="B75" i="10"/>
  <c r="A75" i="10"/>
  <c r="J74" i="10"/>
  <c r="I74" i="10"/>
  <c r="H74" i="10"/>
  <c r="G74" i="10"/>
  <c r="E74" i="10"/>
  <c r="D74" i="10"/>
  <c r="C74" i="10"/>
  <c r="B74" i="10"/>
  <c r="A74" i="10"/>
  <c r="J73" i="10"/>
  <c r="I73" i="10"/>
  <c r="H73" i="10"/>
  <c r="G73" i="10"/>
  <c r="E73" i="10"/>
  <c r="D73" i="10"/>
  <c r="C73" i="10"/>
  <c r="B73" i="10"/>
  <c r="A73" i="10"/>
  <c r="J72" i="10"/>
  <c r="I72" i="10"/>
  <c r="H72" i="10"/>
  <c r="G72" i="10"/>
  <c r="E72" i="10"/>
  <c r="D72" i="10"/>
  <c r="C72" i="10"/>
  <c r="B72" i="10"/>
  <c r="A72" i="10"/>
  <c r="J71" i="10"/>
  <c r="I71" i="10"/>
  <c r="H71" i="10"/>
  <c r="G71" i="10"/>
  <c r="E71" i="10"/>
  <c r="D71" i="10"/>
  <c r="C71" i="10"/>
  <c r="B71" i="10"/>
  <c r="A71" i="10"/>
  <c r="J70" i="10"/>
  <c r="I70" i="10"/>
  <c r="H70" i="10"/>
  <c r="G70" i="10"/>
  <c r="E70" i="10"/>
  <c r="D70" i="10"/>
  <c r="C70" i="10"/>
  <c r="B70" i="10"/>
  <c r="A70" i="10"/>
  <c r="J69" i="10"/>
  <c r="I69" i="10"/>
  <c r="H69" i="10"/>
  <c r="G69" i="10"/>
  <c r="E69" i="10"/>
  <c r="D69" i="10"/>
  <c r="C69" i="10"/>
  <c r="B69" i="10"/>
  <c r="A69" i="10"/>
  <c r="J68" i="10"/>
  <c r="I68" i="10"/>
  <c r="H68" i="10"/>
  <c r="G68" i="10"/>
  <c r="E68" i="10"/>
  <c r="D68" i="10"/>
  <c r="C68" i="10"/>
  <c r="B68" i="10"/>
  <c r="A68" i="10"/>
  <c r="J67" i="10"/>
  <c r="I67" i="10"/>
  <c r="H67" i="10"/>
  <c r="G67" i="10"/>
  <c r="E67" i="10"/>
  <c r="D67" i="10"/>
  <c r="C67" i="10"/>
  <c r="B67" i="10"/>
  <c r="A67" i="10"/>
  <c r="J66" i="10"/>
  <c r="I66" i="10"/>
  <c r="H66" i="10"/>
  <c r="G66" i="10"/>
  <c r="E66" i="10"/>
  <c r="D66" i="10"/>
  <c r="C66" i="10"/>
  <c r="B66" i="10"/>
  <c r="A66" i="10"/>
  <c r="J65" i="10"/>
  <c r="I65" i="10"/>
  <c r="H65" i="10"/>
  <c r="G65" i="10"/>
  <c r="E65" i="10"/>
  <c r="D65" i="10"/>
  <c r="C65" i="10"/>
  <c r="B65" i="10"/>
  <c r="A65" i="10"/>
  <c r="J64" i="10"/>
  <c r="I64" i="10"/>
  <c r="H64" i="10"/>
  <c r="G64" i="10"/>
  <c r="E64" i="10"/>
  <c r="D64" i="10"/>
  <c r="C64" i="10"/>
  <c r="B64" i="10"/>
  <c r="A64" i="10"/>
  <c r="J63" i="10"/>
  <c r="I63" i="10"/>
  <c r="H63" i="10"/>
  <c r="G63" i="10"/>
  <c r="E63" i="10"/>
  <c r="D63" i="10"/>
  <c r="C63" i="10"/>
  <c r="B63" i="10"/>
  <c r="A63" i="10"/>
  <c r="J62" i="10"/>
  <c r="I62" i="10"/>
  <c r="H62" i="10"/>
  <c r="G62" i="10"/>
  <c r="E62" i="10"/>
  <c r="D62" i="10"/>
  <c r="C62" i="10"/>
  <c r="B62" i="10"/>
  <c r="A62" i="10"/>
  <c r="J61" i="10"/>
  <c r="I61" i="10"/>
  <c r="H61" i="10"/>
  <c r="G61" i="10"/>
  <c r="E61" i="10"/>
  <c r="D61" i="10"/>
  <c r="C61" i="10"/>
  <c r="B61" i="10"/>
  <c r="A61" i="10"/>
  <c r="J60" i="10"/>
  <c r="I60" i="10"/>
  <c r="H60" i="10"/>
  <c r="G60" i="10"/>
  <c r="E60" i="10"/>
  <c r="D60" i="10"/>
  <c r="C60" i="10"/>
  <c r="B60" i="10"/>
  <c r="A60" i="10"/>
  <c r="J59" i="10"/>
  <c r="I59" i="10"/>
  <c r="H59" i="10"/>
  <c r="G59" i="10"/>
  <c r="E59" i="10"/>
  <c r="D59" i="10"/>
  <c r="C59" i="10"/>
  <c r="B59" i="10"/>
  <c r="A59" i="10"/>
  <c r="J58" i="10"/>
  <c r="I58" i="10"/>
  <c r="H58" i="10"/>
  <c r="G58" i="10"/>
  <c r="E58" i="10"/>
  <c r="D58" i="10"/>
  <c r="C58" i="10"/>
  <c r="B58" i="10"/>
  <c r="A58" i="10"/>
  <c r="J57" i="10"/>
  <c r="I57" i="10"/>
  <c r="H57" i="10"/>
  <c r="G57" i="10"/>
  <c r="E57" i="10"/>
  <c r="D57" i="10"/>
  <c r="C57" i="10"/>
  <c r="B57" i="10"/>
  <c r="A57" i="10"/>
  <c r="J56" i="10"/>
  <c r="I56" i="10"/>
  <c r="H56" i="10"/>
  <c r="G56" i="10"/>
  <c r="E56" i="10"/>
  <c r="D56" i="10"/>
  <c r="C56" i="10"/>
  <c r="B56" i="10"/>
  <c r="A56" i="10"/>
  <c r="J55" i="10"/>
  <c r="I55" i="10"/>
  <c r="H55" i="10"/>
  <c r="G55" i="10"/>
  <c r="E55" i="10"/>
  <c r="D55" i="10"/>
  <c r="C55" i="10"/>
  <c r="B55" i="10"/>
  <c r="A55" i="10"/>
  <c r="J54" i="10"/>
  <c r="I54" i="10"/>
  <c r="H54" i="10"/>
  <c r="G54" i="10"/>
  <c r="E54" i="10"/>
  <c r="D54" i="10"/>
  <c r="C54" i="10"/>
  <c r="B54" i="10"/>
  <c r="A54" i="10"/>
  <c r="J53" i="10"/>
  <c r="I53" i="10"/>
  <c r="H53" i="10"/>
  <c r="G53" i="10"/>
  <c r="E53" i="10"/>
  <c r="D53" i="10"/>
  <c r="C53" i="10"/>
  <c r="B53" i="10"/>
  <c r="A53" i="10"/>
  <c r="J52" i="10"/>
  <c r="I52" i="10"/>
  <c r="H52" i="10"/>
  <c r="G52" i="10"/>
  <c r="E52" i="10"/>
  <c r="D52" i="10"/>
  <c r="C52" i="10"/>
  <c r="B52" i="10"/>
  <c r="A52" i="10"/>
  <c r="J51" i="10"/>
  <c r="I51" i="10"/>
  <c r="H51" i="10"/>
  <c r="G51" i="10"/>
  <c r="E51" i="10"/>
  <c r="D51" i="10"/>
  <c r="C51" i="10"/>
  <c r="B51" i="10"/>
  <c r="A51" i="10"/>
  <c r="J50" i="10"/>
  <c r="I50" i="10"/>
  <c r="H50" i="10"/>
  <c r="G50" i="10"/>
  <c r="E50" i="10"/>
  <c r="D50" i="10"/>
  <c r="C50" i="10"/>
  <c r="B50" i="10"/>
  <c r="A50" i="10"/>
  <c r="J49" i="10"/>
  <c r="I49" i="10"/>
  <c r="H49" i="10"/>
  <c r="G49" i="10"/>
  <c r="E49" i="10"/>
  <c r="D49" i="10"/>
  <c r="C49" i="10"/>
  <c r="B49" i="10"/>
  <c r="A49" i="10"/>
  <c r="J48" i="10"/>
  <c r="I48" i="10"/>
  <c r="H48" i="10"/>
  <c r="G48" i="10"/>
  <c r="E48" i="10"/>
  <c r="D48" i="10"/>
  <c r="C48" i="10"/>
  <c r="B48" i="10"/>
  <c r="A48" i="10"/>
  <c r="J47" i="10"/>
  <c r="I47" i="10"/>
  <c r="H47" i="10"/>
  <c r="G47" i="10"/>
  <c r="E47" i="10"/>
  <c r="D47" i="10"/>
  <c r="C47" i="10"/>
  <c r="B47" i="10"/>
  <c r="A47" i="10"/>
  <c r="J46" i="10"/>
  <c r="I46" i="10"/>
  <c r="H46" i="10"/>
  <c r="G46" i="10"/>
  <c r="E46" i="10"/>
  <c r="D46" i="10"/>
  <c r="C46" i="10"/>
  <c r="B46" i="10"/>
  <c r="A46" i="10"/>
  <c r="J45" i="10"/>
  <c r="I45" i="10"/>
  <c r="H45" i="10"/>
  <c r="G45" i="10"/>
  <c r="E45" i="10"/>
  <c r="D45" i="10"/>
  <c r="C45" i="10"/>
  <c r="B45" i="10"/>
  <c r="A45" i="10"/>
  <c r="J44" i="10"/>
  <c r="I44" i="10"/>
  <c r="H44" i="10"/>
  <c r="G44" i="10"/>
  <c r="E44" i="10"/>
  <c r="D44" i="10"/>
  <c r="C44" i="10"/>
  <c r="B44" i="10"/>
  <c r="A44" i="10"/>
  <c r="J43" i="10"/>
  <c r="I43" i="10"/>
  <c r="H43" i="10"/>
  <c r="G43" i="10"/>
  <c r="E43" i="10"/>
  <c r="D43" i="10"/>
  <c r="C43" i="10"/>
  <c r="B43" i="10"/>
  <c r="A43" i="10"/>
  <c r="J42" i="10"/>
  <c r="I42" i="10"/>
  <c r="H42" i="10"/>
  <c r="G42" i="10"/>
  <c r="E42" i="10"/>
  <c r="D42" i="10"/>
  <c r="C42" i="10"/>
  <c r="B42" i="10"/>
  <c r="A42" i="10"/>
  <c r="J41" i="10"/>
  <c r="I41" i="10"/>
  <c r="H41" i="10"/>
  <c r="G41" i="10"/>
  <c r="E41" i="10"/>
  <c r="D41" i="10"/>
  <c r="C41" i="10"/>
  <c r="B41" i="10"/>
  <c r="A41" i="10"/>
  <c r="J40" i="10"/>
  <c r="I40" i="10"/>
  <c r="H40" i="10"/>
  <c r="G40" i="10"/>
  <c r="E40" i="10"/>
  <c r="D40" i="10"/>
  <c r="C40" i="10"/>
  <c r="B40" i="10"/>
  <c r="A40" i="10"/>
  <c r="J39" i="10"/>
  <c r="I39" i="10"/>
  <c r="H39" i="10"/>
  <c r="G39" i="10"/>
  <c r="E39" i="10"/>
  <c r="D39" i="10"/>
  <c r="C39" i="10"/>
  <c r="B39" i="10"/>
  <c r="A39" i="10"/>
  <c r="J38" i="10"/>
  <c r="I38" i="10"/>
  <c r="H38" i="10"/>
  <c r="G38" i="10"/>
  <c r="E38" i="10"/>
  <c r="D38" i="10"/>
  <c r="C38" i="10"/>
  <c r="B38" i="10"/>
  <c r="A38" i="10"/>
  <c r="J37" i="10"/>
  <c r="I37" i="10"/>
  <c r="H37" i="10"/>
  <c r="G37" i="10"/>
  <c r="E37" i="10"/>
  <c r="D37" i="10"/>
  <c r="C37" i="10"/>
  <c r="B37" i="10"/>
  <c r="A37" i="10"/>
  <c r="J36" i="10"/>
  <c r="I36" i="10"/>
  <c r="H36" i="10"/>
  <c r="G36" i="10"/>
  <c r="E36" i="10"/>
  <c r="D36" i="10"/>
  <c r="C36" i="10"/>
  <c r="B36" i="10"/>
  <c r="A36" i="10"/>
  <c r="J35" i="10"/>
  <c r="I35" i="10"/>
  <c r="H35" i="10"/>
  <c r="G35" i="10"/>
  <c r="E35" i="10"/>
  <c r="D35" i="10"/>
  <c r="C35" i="10"/>
  <c r="B35" i="10"/>
  <c r="A35" i="10"/>
  <c r="J34" i="10"/>
  <c r="I34" i="10"/>
  <c r="H34" i="10"/>
  <c r="G34" i="10"/>
  <c r="E34" i="10"/>
  <c r="D34" i="10"/>
  <c r="C34" i="10"/>
  <c r="B34" i="10"/>
  <c r="A34" i="10"/>
  <c r="J33" i="10"/>
  <c r="I33" i="10"/>
  <c r="H33" i="10"/>
  <c r="G33" i="10"/>
  <c r="E33" i="10"/>
  <c r="D33" i="10"/>
  <c r="C33" i="10"/>
  <c r="B33" i="10"/>
  <c r="A33" i="10"/>
  <c r="J32" i="10"/>
  <c r="I32" i="10"/>
  <c r="H32" i="10"/>
  <c r="G32" i="10"/>
  <c r="E32" i="10"/>
  <c r="D32" i="10"/>
  <c r="C32" i="10"/>
  <c r="B32" i="10"/>
  <c r="A32" i="10"/>
  <c r="J31" i="10"/>
  <c r="I31" i="10"/>
  <c r="H31" i="10"/>
  <c r="G31" i="10"/>
  <c r="E31" i="10"/>
  <c r="D31" i="10"/>
  <c r="C31" i="10"/>
  <c r="B31" i="10"/>
  <c r="A31" i="10"/>
  <c r="J30" i="10"/>
  <c r="I30" i="10"/>
  <c r="H30" i="10"/>
  <c r="G30" i="10"/>
  <c r="E30" i="10"/>
  <c r="D30" i="10"/>
  <c r="C30" i="10"/>
  <c r="B30" i="10"/>
  <c r="A30" i="10"/>
  <c r="J29" i="10"/>
  <c r="I29" i="10"/>
  <c r="H29" i="10"/>
  <c r="G29" i="10"/>
  <c r="E29" i="10"/>
  <c r="D29" i="10"/>
  <c r="C29" i="10"/>
  <c r="B29" i="10"/>
  <c r="A29" i="10"/>
  <c r="J28" i="10"/>
  <c r="I28" i="10"/>
  <c r="H28" i="10"/>
  <c r="G28" i="10"/>
  <c r="E28" i="10"/>
  <c r="D28" i="10"/>
  <c r="C28" i="10"/>
  <c r="B28" i="10"/>
  <c r="A28" i="10"/>
  <c r="J27" i="10"/>
  <c r="I27" i="10"/>
  <c r="H27" i="10"/>
  <c r="G27" i="10"/>
  <c r="E27" i="10"/>
  <c r="D27" i="10"/>
  <c r="C27" i="10"/>
  <c r="B27" i="10"/>
  <c r="A27" i="10"/>
  <c r="J26" i="10"/>
  <c r="I26" i="10"/>
  <c r="H26" i="10"/>
  <c r="G26" i="10"/>
  <c r="E26" i="10"/>
  <c r="D26" i="10"/>
  <c r="C26" i="10"/>
  <c r="B26" i="10"/>
  <c r="A26" i="10"/>
  <c r="J25" i="10"/>
  <c r="I25" i="10"/>
  <c r="H25" i="10"/>
  <c r="G25" i="10"/>
  <c r="E25" i="10"/>
  <c r="D25" i="10"/>
  <c r="C25" i="10"/>
  <c r="B25" i="10"/>
  <c r="A25" i="10"/>
  <c r="J24" i="10"/>
  <c r="I24" i="10"/>
  <c r="H24" i="10"/>
  <c r="G24" i="10"/>
  <c r="E24" i="10"/>
  <c r="D24" i="10"/>
  <c r="C24" i="10"/>
  <c r="B24" i="10"/>
  <c r="A24" i="10"/>
  <c r="J23" i="10"/>
  <c r="I23" i="10"/>
  <c r="H23" i="10"/>
  <c r="G23" i="10"/>
  <c r="E23" i="10"/>
  <c r="D23" i="10"/>
  <c r="C23" i="10"/>
  <c r="B23" i="10"/>
  <c r="A23" i="10"/>
  <c r="J22" i="10"/>
  <c r="I22" i="10"/>
  <c r="H22" i="10"/>
  <c r="G22" i="10"/>
  <c r="E22" i="10"/>
  <c r="D22" i="10"/>
  <c r="C22" i="10"/>
  <c r="B22" i="10"/>
  <c r="A22" i="10"/>
  <c r="J21" i="10"/>
  <c r="I21" i="10"/>
  <c r="H21" i="10"/>
  <c r="G21" i="10"/>
  <c r="E21" i="10"/>
  <c r="D21" i="10"/>
  <c r="C21" i="10"/>
  <c r="B21" i="10"/>
  <c r="A21" i="10"/>
  <c r="J20" i="10"/>
  <c r="I20" i="10"/>
  <c r="H20" i="10"/>
  <c r="G20" i="10"/>
  <c r="E20" i="10"/>
  <c r="D20" i="10"/>
  <c r="C20" i="10"/>
  <c r="B20" i="10"/>
  <c r="A20" i="10"/>
  <c r="J19" i="10"/>
  <c r="I19" i="10"/>
  <c r="H19" i="10"/>
  <c r="G19" i="10"/>
  <c r="E19" i="10"/>
  <c r="D19" i="10"/>
  <c r="C19" i="10"/>
  <c r="B19" i="10"/>
  <c r="A19" i="10"/>
  <c r="J18" i="10"/>
  <c r="I18" i="10"/>
  <c r="H18" i="10"/>
  <c r="G18" i="10"/>
  <c r="E18" i="10"/>
  <c r="D18" i="10"/>
  <c r="C18" i="10"/>
  <c r="B18" i="10"/>
  <c r="A18" i="10"/>
  <c r="J17" i="10"/>
  <c r="I17" i="10"/>
  <c r="H17" i="10"/>
  <c r="G17" i="10"/>
  <c r="E17" i="10"/>
  <c r="D17" i="10"/>
  <c r="C17" i="10"/>
  <c r="B17" i="10"/>
  <c r="A17" i="10"/>
  <c r="J16" i="10"/>
  <c r="I16" i="10"/>
  <c r="H16" i="10"/>
  <c r="G16" i="10"/>
  <c r="E16" i="10"/>
  <c r="D16" i="10"/>
  <c r="C16" i="10"/>
  <c r="B16" i="10"/>
  <c r="A16" i="10"/>
  <c r="J15" i="10"/>
  <c r="I15" i="10"/>
  <c r="H15" i="10"/>
  <c r="G15" i="10"/>
  <c r="E15" i="10"/>
  <c r="D15" i="10"/>
  <c r="C15" i="10"/>
  <c r="B15" i="10"/>
  <c r="A15" i="10"/>
  <c r="J14" i="10"/>
  <c r="I14" i="10"/>
  <c r="H14" i="10"/>
  <c r="G14" i="10"/>
  <c r="E14" i="10"/>
  <c r="D14" i="10"/>
  <c r="C14" i="10"/>
  <c r="A14" i="10"/>
  <c r="J13" i="10"/>
  <c r="I13" i="10"/>
  <c r="H13" i="10"/>
  <c r="G13" i="10"/>
  <c r="E13" i="10"/>
  <c r="D13" i="10"/>
  <c r="C13" i="10"/>
  <c r="A13" i="10"/>
  <c r="J12" i="10"/>
  <c r="I12" i="10"/>
  <c r="H12" i="10"/>
  <c r="G12" i="10"/>
  <c r="E12" i="10"/>
  <c r="D12" i="10"/>
  <c r="C12" i="10"/>
  <c r="A12" i="10"/>
  <c r="J11" i="10"/>
  <c r="I11" i="10"/>
  <c r="H11" i="10"/>
  <c r="G11" i="10"/>
  <c r="E11" i="10"/>
  <c r="D11" i="10"/>
  <c r="C11" i="10"/>
  <c r="A11" i="10"/>
  <c r="J10" i="10"/>
  <c r="I10" i="10"/>
  <c r="H10" i="10"/>
  <c r="G10" i="10"/>
  <c r="E10" i="10"/>
  <c r="D10" i="10"/>
  <c r="C10" i="10"/>
  <c r="A10" i="10"/>
  <c r="J9" i="10"/>
  <c r="I9" i="10"/>
  <c r="H9" i="10"/>
  <c r="G9" i="10"/>
  <c r="E9" i="10"/>
  <c r="D9" i="10"/>
  <c r="C9" i="10"/>
  <c r="A9" i="10"/>
  <c r="J8" i="10"/>
  <c r="I8" i="10"/>
  <c r="H8" i="10"/>
  <c r="G8" i="10"/>
  <c r="E8" i="10"/>
  <c r="D8" i="10"/>
  <c r="C8" i="10"/>
  <c r="A8" i="10"/>
  <c r="J89" i="9"/>
  <c r="I89" i="9"/>
  <c r="H89" i="9"/>
  <c r="G89" i="9"/>
  <c r="E89" i="9"/>
  <c r="D89" i="9"/>
  <c r="C89" i="9"/>
  <c r="B89" i="9"/>
  <c r="A89" i="9"/>
  <c r="J88" i="9"/>
  <c r="I88" i="9"/>
  <c r="H88" i="9"/>
  <c r="G88" i="9"/>
  <c r="E88" i="9"/>
  <c r="D88" i="9"/>
  <c r="C88" i="9"/>
  <c r="B88" i="9"/>
  <c r="A88" i="9"/>
  <c r="J87" i="9"/>
  <c r="I87" i="9"/>
  <c r="H87" i="9"/>
  <c r="G87" i="9"/>
  <c r="E87" i="9"/>
  <c r="D87" i="9"/>
  <c r="C87" i="9"/>
  <c r="B87" i="9"/>
  <c r="A87" i="9"/>
  <c r="J86" i="9"/>
  <c r="I86" i="9"/>
  <c r="H86" i="9"/>
  <c r="G86" i="9"/>
  <c r="E86" i="9"/>
  <c r="D86" i="9"/>
  <c r="C86" i="9"/>
  <c r="B86" i="9"/>
  <c r="A86" i="9"/>
  <c r="J85" i="9"/>
  <c r="I85" i="9"/>
  <c r="H85" i="9"/>
  <c r="G85" i="9"/>
  <c r="E85" i="9"/>
  <c r="D85" i="9"/>
  <c r="C85" i="9"/>
  <c r="B85" i="9"/>
  <c r="A85" i="9"/>
  <c r="J84" i="9"/>
  <c r="I84" i="9"/>
  <c r="H84" i="9"/>
  <c r="G84" i="9"/>
  <c r="E84" i="9"/>
  <c r="D84" i="9"/>
  <c r="C84" i="9"/>
  <c r="B84" i="9"/>
  <c r="A84" i="9"/>
  <c r="J83" i="9"/>
  <c r="I83" i="9"/>
  <c r="H83" i="9"/>
  <c r="G83" i="9"/>
  <c r="E83" i="9"/>
  <c r="D83" i="9"/>
  <c r="C83" i="9"/>
  <c r="B83" i="9"/>
  <c r="A83" i="9"/>
  <c r="J82" i="9"/>
  <c r="I82" i="9"/>
  <c r="H82" i="9"/>
  <c r="G82" i="9"/>
  <c r="E82" i="9"/>
  <c r="D82" i="9"/>
  <c r="C82" i="9"/>
  <c r="B82" i="9"/>
  <c r="A82" i="9"/>
  <c r="J81" i="9"/>
  <c r="I81" i="9"/>
  <c r="H81" i="9"/>
  <c r="G81" i="9"/>
  <c r="E81" i="9"/>
  <c r="D81" i="9"/>
  <c r="C81" i="9"/>
  <c r="B81" i="9"/>
  <c r="A81" i="9"/>
  <c r="J80" i="9"/>
  <c r="I80" i="9"/>
  <c r="H80" i="9"/>
  <c r="G80" i="9"/>
  <c r="E80" i="9"/>
  <c r="D80" i="9"/>
  <c r="C80" i="9"/>
  <c r="B80" i="9"/>
  <c r="A80" i="9"/>
  <c r="J79" i="9"/>
  <c r="I79" i="9"/>
  <c r="H79" i="9"/>
  <c r="G79" i="9"/>
  <c r="E79" i="9"/>
  <c r="D79" i="9"/>
  <c r="C79" i="9"/>
  <c r="B79" i="9"/>
  <c r="A79" i="9"/>
  <c r="J78" i="9"/>
  <c r="I78" i="9"/>
  <c r="H78" i="9"/>
  <c r="G78" i="9"/>
  <c r="E78" i="9"/>
  <c r="D78" i="9"/>
  <c r="C78" i="9"/>
  <c r="B78" i="9"/>
  <c r="A78" i="9"/>
  <c r="J77" i="9"/>
  <c r="I77" i="9"/>
  <c r="H77" i="9"/>
  <c r="G77" i="9"/>
  <c r="E77" i="9"/>
  <c r="D77" i="9"/>
  <c r="C77" i="9"/>
  <c r="B77" i="9"/>
  <c r="A77" i="9"/>
  <c r="J76" i="9"/>
  <c r="I76" i="9"/>
  <c r="H76" i="9"/>
  <c r="G76" i="9"/>
  <c r="E76" i="9"/>
  <c r="D76" i="9"/>
  <c r="C76" i="9"/>
  <c r="B76" i="9"/>
  <c r="A76" i="9"/>
  <c r="J75" i="9"/>
  <c r="I75" i="9"/>
  <c r="H75" i="9"/>
  <c r="G75" i="9"/>
  <c r="E75" i="9"/>
  <c r="D75" i="9"/>
  <c r="C75" i="9"/>
  <c r="B75" i="9"/>
  <c r="A75" i="9"/>
  <c r="J74" i="9"/>
  <c r="I74" i="9"/>
  <c r="H74" i="9"/>
  <c r="G74" i="9"/>
  <c r="E74" i="9"/>
  <c r="D74" i="9"/>
  <c r="C74" i="9"/>
  <c r="B74" i="9"/>
  <c r="A74" i="9"/>
  <c r="J73" i="9"/>
  <c r="I73" i="9"/>
  <c r="H73" i="9"/>
  <c r="G73" i="9"/>
  <c r="E73" i="9"/>
  <c r="D73" i="9"/>
  <c r="C73" i="9"/>
  <c r="B73" i="9"/>
  <c r="A73" i="9"/>
  <c r="J72" i="9"/>
  <c r="I72" i="9"/>
  <c r="H72" i="9"/>
  <c r="G72" i="9"/>
  <c r="E72" i="9"/>
  <c r="D72" i="9"/>
  <c r="C72" i="9"/>
  <c r="B72" i="9"/>
  <c r="A72" i="9"/>
  <c r="J71" i="9"/>
  <c r="I71" i="9"/>
  <c r="H71" i="9"/>
  <c r="G71" i="9"/>
  <c r="E71" i="9"/>
  <c r="D71" i="9"/>
  <c r="C71" i="9"/>
  <c r="B71" i="9"/>
  <c r="A71" i="9"/>
  <c r="J70" i="9"/>
  <c r="I70" i="9"/>
  <c r="H70" i="9"/>
  <c r="G70" i="9"/>
  <c r="E70" i="9"/>
  <c r="D70" i="9"/>
  <c r="C70" i="9"/>
  <c r="B70" i="9"/>
  <c r="A70" i="9"/>
  <c r="J69" i="9"/>
  <c r="I69" i="9"/>
  <c r="H69" i="9"/>
  <c r="G69" i="9"/>
  <c r="E69" i="9"/>
  <c r="D69" i="9"/>
  <c r="C69" i="9"/>
  <c r="B69" i="9"/>
  <c r="A69" i="9"/>
  <c r="J68" i="9"/>
  <c r="I68" i="9"/>
  <c r="H68" i="9"/>
  <c r="G68" i="9"/>
  <c r="E68" i="9"/>
  <c r="D68" i="9"/>
  <c r="C68" i="9"/>
  <c r="B68" i="9"/>
  <c r="A68" i="9"/>
  <c r="J67" i="9"/>
  <c r="I67" i="9"/>
  <c r="H67" i="9"/>
  <c r="G67" i="9"/>
  <c r="E67" i="9"/>
  <c r="D67" i="9"/>
  <c r="C67" i="9"/>
  <c r="B67" i="9"/>
  <c r="A67" i="9"/>
  <c r="J66" i="9"/>
  <c r="I66" i="9"/>
  <c r="H66" i="9"/>
  <c r="G66" i="9"/>
  <c r="E66" i="9"/>
  <c r="D66" i="9"/>
  <c r="C66" i="9"/>
  <c r="B66" i="9"/>
  <c r="A66" i="9"/>
  <c r="J65" i="9"/>
  <c r="I65" i="9"/>
  <c r="H65" i="9"/>
  <c r="G65" i="9"/>
  <c r="E65" i="9"/>
  <c r="D65" i="9"/>
  <c r="C65" i="9"/>
  <c r="B65" i="9"/>
  <c r="A65" i="9"/>
  <c r="J64" i="9"/>
  <c r="I64" i="9"/>
  <c r="H64" i="9"/>
  <c r="G64" i="9"/>
  <c r="E64" i="9"/>
  <c r="D64" i="9"/>
  <c r="C64" i="9"/>
  <c r="B64" i="9"/>
  <c r="A64" i="9"/>
  <c r="J63" i="9"/>
  <c r="I63" i="9"/>
  <c r="H63" i="9"/>
  <c r="G63" i="9"/>
  <c r="E63" i="9"/>
  <c r="D63" i="9"/>
  <c r="C63" i="9"/>
  <c r="B63" i="9"/>
  <c r="A63" i="9"/>
  <c r="J62" i="9"/>
  <c r="I62" i="9"/>
  <c r="H62" i="9"/>
  <c r="G62" i="9"/>
  <c r="E62" i="9"/>
  <c r="D62" i="9"/>
  <c r="C62" i="9"/>
  <c r="B62" i="9"/>
  <c r="A62" i="9"/>
  <c r="J61" i="9"/>
  <c r="I61" i="9"/>
  <c r="H61" i="9"/>
  <c r="G61" i="9"/>
  <c r="E61" i="9"/>
  <c r="D61" i="9"/>
  <c r="C61" i="9"/>
  <c r="B61" i="9"/>
  <c r="A61" i="9"/>
  <c r="J60" i="9"/>
  <c r="I60" i="9"/>
  <c r="H60" i="9"/>
  <c r="G60" i="9"/>
  <c r="E60" i="9"/>
  <c r="D60" i="9"/>
  <c r="C60" i="9"/>
  <c r="B60" i="9"/>
  <c r="A60" i="9"/>
  <c r="J59" i="9"/>
  <c r="I59" i="9"/>
  <c r="H59" i="9"/>
  <c r="G59" i="9"/>
  <c r="E59" i="9"/>
  <c r="D59" i="9"/>
  <c r="C59" i="9"/>
  <c r="B59" i="9"/>
  <c r="A59" i="9"/>
  <c r="J58" i="9"/>
  <c r="I58" i="9"/>
  <c r="H58" i="9"/>
  <c r="G58" i="9"/>
  <c r="E58" i="9"/>
  <c r="D58" i="9"/>
  <c r="C58" i="9"/>
  <c r="B58" i="9"/>
  <c r="A58" i="9"/>
  <c r="J57" i="9"/>
  <c r="I57" i="9"/>
  <c r="H57" i="9"/>
  <c r="G57" i="9"/>
  <c r="E57" i="9"/>
  <c r="D57" i="9"/>
  <c r="C57" i="9"/>
  <c r="B57" i="9"/>
  <c r="A57" i="9"/>
  <c r="J56" i="9"/>
  <c r="I56" i="9"/>
  <c r="H56" i="9"/>
  <c r="G56" i="9"/>
  <c r="E56" i="9"/>
  <c r="D56" i="9"/>
  <c r="C56" i="9"/>
  <c r="B56" i="9"/>
  <c r="A56" i="9"/>
  <c r="J55" i="9"/>
  <c r="I55" i="9"/>
  <c r="H55" i="9"/>
  <c r="G55" i="9"/>
  <c r="E55" i="9"/>
  <c r="D55" i="9"/>
  <c r="C55" i="9"/>
  <c r="B55" i="9"/>
  <c r="A55" i="9"/>
  <c r="J54" i="9"/>
  <c r="I54" i="9"/>
  <c r="H54" i="9"/>
  <c r="G54" i="9"/>
  <c r="E54" i="9"/>
  <c r="D54" i="9"/>
  <c r="C54" i="9"/>
  <c r="B54" i="9"/>
  <c r="A54" i="9"/>
  <c r="J53" i="9"/>
  <c r="I53" i="9"/>
  <c r="H53" i="9"/>
  <c r="G53" i="9"/>
  <c r="E53" i="9"/>
  <c r="D53" i="9"/>
  <c r="C53" i="9"/>
  <c r="B53" i="9"/>
  <c r="A53" i="9"/>
  <c r="J52" i="9"/>
  <c r="I52" i="9"/>
  <c r="H52" i="9"/>
  <c r="G52" i="9"/>
  <c r="E52" i="9"/>
  <c r="D52" i="9"/>
  <c r="C52" i="9"/>
  <c r="B52" i="9"/>
  <c r="A52" i="9"/>
  <c r="J51" i="9"/>
  <c r="I51" i="9"/>
  <c r="H51" i="9"/>
  <c r="G51" i="9"/>
  <c r="E51" i="9"/>
  <c r="D51" i="9"/>
  <c r="C51" i="9"/>
  <c r="B51" i="9"/>
  <c r="A51" i="9"/>
  <c r="J50" i="9"/>
  <c r="I50" i="9"/>
  <c r="H50" i="9"/>
  <c r="G50" i="9"/>
  <c r="E50" i="9"/>
  <c r="D50" i="9"/>
  <c r="C50" i="9"/>
  <c r="B50" i="9"/>
  <c r="A50" i="9"/>
  <c r="J49" i="9"/>
  <c r="I49" i="9"/>
  <c r="H49" i="9"/>
  <c r="G49" i="9"/>
  <c r="E49" i="9"/>
  <c r="D49" i="9"/>
  <c r="C49" i="9"/>
  <c r="B49" i="9"/>
  <c r="A49" i="9"/>
  <c r="J48" i="9"/>
  <c r="I48" i="9"/>
  <c r="H48" i="9"/>
  <c r="G48" i="9"/>
  <c r="E48" i="9"/>
  <c r="D48" i="9"/>
  <c r="C48" i="9"/>
  <c r="B48" i="9"/>
  <c r="A48" i="9"/>
  <c r="J47" i="9"/>
  <c r="I47" i="9"/>
  <c r="H47" i="9"/>
  <c r="G47" i="9"/>
  <c r="E47" i="9"/>
  <c r="D47" i="9"/>
  <c r="C47" i="9"/>
  <c r="B47" i="9"/>
  <c r="A47" i="9"/>
  <c r="J46" i="9"/>
  <c r="I46" i="9"/>
  <c r="H46" i="9"/>
  <c r="G46" i="9"/>
  <c r="E46" i="9"/>
  <c r="D46" i="9"/>
  <c r="C46" i="9"/>
  <c r="B46" i="9"/>
  <c r="A46" i="9"/>
  <c r="J45" i="9"/>
  <c r="I45" i="9"/>
  <c r="H45" i="9"/>
  <c r="G45" i="9"/>
  <c r="E45" i="9"/>
  <c r="D45" i="9"/>
  <c r="C45" i="9"/>
  <c r="B45" i="9"/>
  <c r="A45" i="9"/>
  <c r="J44" i="9"/>
  <c r="I44" i="9"/>
  <c r="H44" i="9"/>
  <c r="G44" i="9"/>
  <c r="E44" i="9"/>
  <c r="D44" i="9"/>
  <c r="C44" i="9"/>
  <c r="B44" i="9"/>
  <c r="A44" i="9"/>
  <c r="J43" i="9"/>
  <c r="I43" i="9"/>
  <c r="H43" i="9"/>
  <c r="G43" i="9"/>
  <c r="E43" i="9"/>
  <c r="D43" i="9"/>
  <c r="C43" i="9"/>
  <c r="B43" i="9"/>
  <c r="A43" i="9"/>
  <c r="J42" i="9"/>
  <c r="I42" i="9"/>
  <c r="H42" i="9"/>
  <c r="G42" i="9"/>
  <c r="E42" i="9"/>
  <c r="D42" i="9"/>
  <c r="C42" i="9"/>
  <c r="B42" i="9"/>
  <c r="A42" i="9"/>
  <c r="J41" i="9"/>
  <c r="I41" i="9"/>
  <c r="H41" i="9"/>
  <c r="G41" i="9"/>
  <c r="E41" i="9"/>
  <c r="D41" i="9"/>
  <c r="C41" i="9"/>
  <c r="B41" i="9"/>
  <c r="A41" i="9"/>
  <c r="J40" i="9"/>
  <c r="I40" i="9"/>
  <c r="H40" i="9"/>
  <c r="G40" i="9"/>
  <c r="E40" i="9"/>
  <c r="D40" i="9"/>
  <c r="C40" i="9"/>
  <c r="B40" i="9"/>
  <c r="A40" i="9"/>
  <c r="J39" i="9"/>
  <c r="I39" i="9"/>
  <c r="H39" i="9"/>
  <c r="G39" i="9"/>
  <c r="E39" i="9"/>
  <c r="D39" i="9"/>
  <c r="C39" i="9"/>
  <c r="B39" i="9"/>
  <c r="A39" i="9"/>
  <c r="J38" i="9"/>
  <c r="I38" i="9"/>
  <c r="H38" i="9"/>
  <c r="G38" i="9"/>
  <c r="E38" i="9"/>
  <c r="D38" i="9"/>
  <c r="C38" i="9"/>
  <c r="B38" i="9"/>
  <c r="A38" i="9"/>
  <c r="J37" i="9"/>
  <c r="I37" i="9"/>
  <c r="H37" i="9"/>
  <c r="G37" i="9"/>
  <c r="E37" i="9"/>
  <c r="D37" i="9"/>
  <c r="C37" i="9"/>
  <c r="B37" i="9"/>
  <c r="A37" i="9"/>
  <c r="J36" i="9"/>
  <c r="I36" i="9"/>
  <c r="H36" i="9"/>
  <c r="G36" i="9"/>
  <c r="E36" i="9"/>
  <c r="D36" i="9"/>
  <c r="C36" i="9"/>
  <c r="B36" i="9"/>
  <c r="A36" i="9"/>
  <c r="J35" i="9"/>
  <c r="I35" i="9"/>
  <c r="H35" i="9"/>
  <c r="G35" i="9"/>
  <c r="E35" i="9"/>
  <c r="D35" i="9"/>
  <c r="C35" i="9"/>
  <c r="B35" i="9"/>
  <c r="A35" i="9"/>
  <c r="J34" i="9"/>
  <c r="I34" i="9"/>
  <c r="H34" i="9"/>
  <c r="G34" i="9"/>
  <c r="E34" i="9"/>
  <c r="D34" i="9"/>
  <c r="C34" i="9"/>
  <c r="B34" i="9"/>
  <c r="A34" i="9"/>
  <c r="J33" i="9"/>
  <c r="I33" i="9"/>
  <c r="H33" i="9"/>
  <c r="G33" i="9"/>
  <c r="E33" i="9"/>
  <c r="D33" i="9"/>
  <c r="C33" i="9"/>
  <c r="B33" i="9"/>
  <c r="A33" i="9"/>
  <c r="J32" i="9"/>
  <c r="I32" i="9"/>
  <c r="H32" i="9"/>
  <c r="G32" i="9"/>
  <c r="E32" i="9"/>
  <c r="D32" i="9"/>
  <c r="C32" i="9"/>
  <c r="B32" i="9"/>
  <c r="A32" i="9"/>
  <c r="J31" i="9"/>
  <c r="I31" i="9"/>
  <c r="H31" i="9"/>
  <c r="G31" i="9"/>
  <c r="E31" i="9"/>
  <c r="D31" i="9"/>
  <c r="C31" i="9"/>
  <c r="B31" i="9"/>
  <c r="A31" i="9"/>
  <c r="J30" i="9"/>
  <c r="I30" i="9"/>
  <c r="H30" i="9"/>
  <c r="G30" i="9"/>
  <c r="E30" i="9"/>
  <c r="D30" i="9"/>
  <c r="C30" i="9"/>
  <c r="B30" i="9"/>
  <c r="A30" i="9"/>
  <c r="J29" i="9"/>
  <c r="I29" i="9"/>
  <c r="H29" i="9"/>
  <c r="G29" i="9"/>
  <c r="E29" i="9"/>
  <c r="D29" i="9"/>
  <c r="C29" i="9"/>
  <c r="B29" i="9"/>
  <c r="A29" i="9"/>
  <c r="J28" i="9"/>
  <c r="I28" i="9"/>
  <c r="H28" i="9"/>
  <c r="G28" i="9"/>
  <c r="E28" i="9"/>
  <c r="D28" i="9"/>
  <c r="C28" i="9"/>
  <c r="B28" i="9"/>
  <c r="A28" i="9"/>
  <c r="J27" i="9"/>
  <c r="I27" i="9"/>
  <c r="H27" i="9"/>
  <c r="G27" i="9"/>
  <c r="E27" i="9"/>
  <c r="D27" i="9"/>
  <c r="C27" i="9"/>
  <c r="B27" i="9"/>
  <c r="A27" i="9"/>
  <c r="J26" i="9"/>
  <c r="I26" i="9"/>
  <c r="H26" i="9"/>
  <c r="G26" i="9"/>
  <c r="E26" i="9"/>
  <c r="D26" i="9"/>
  <c r="C26" i="9"/>
  <c r="B26" i="9"/>
  <c r="A26" i="9"/>
  <c r="J25" i="9"/>
  <c r="I25" i="9"/>
  <c r="H25" i="9"/>
  <c r="G25" i="9"/>
  <c r="E25" i="9"/>
  <c r="D25" i="9"/>
  <c r="C25" i="9"/>
  <c r="B25" i="9"/>
  <c r="A25" i="9"/>
  <c r="J24" i="9"/>
  <c r="I24" i="9"/>
  <c r="H24" i="9"/>
  <c r="G24" i="9"/>
  <c r="E24" i="9"/>
  <c r="D24" i="9"/>
  <c r="C24" i="9"/>
  <c r="B24" i="9"/>
  <c r="A24" i="9"/>
  <c r="J23" i="9"/>
  <c r="I23" i="9"/>
  <c r="H23" i="9"/>
  <c r="G23" i="9"/>
  <c r="E23" i="9"/>
  <c r="D23" i="9"/>
  <c r="C23" i="9"/>
  <c r="B23" i="9"/>
  <c r="A23" i="9"/>
  <c r="J22" i="9"/>
  <c r="I22" i="9"/>
  <c r="H22" i="9"/>
  <c r="G22" i="9"/>
  <c r="E22" i="9"/>
  <c r="D22" i="9"/>
  <c r="C22" i="9"/>
  <c r="B22" i="9"/>
  <c r="A22" i="9"/>
  <c r="J21" i="9"/>
  <c r="I21" i="9"/>
  <c r="H21" i="9"/>
  <c r="G21" i="9"/>
  <c r="E21" i="9"/>
  <c r="D21" i="9"/>
  <c r="C21" i="9"/>
  <c r="B21" i="9"/>
  <c r="A21" i="9"/>
  <c r="J20" i="9"/>
  <c r="I20" i="9"/>
  <c r="H20" i="9"/>
  <c r="G20" i="9"/>
  <c r="E20" i="9"/>
  <c r="D20" i="9"/>
  <c r="C20" i="9"/>
  <c r="B20" i="9"/>
  <c r="A20" i="9"/>
  <c r="J19" i="9"/>
  <c r="I19" i="9"/>
  <c r="H19" i="9"/>
  <c r="G19" i="9"/>
  <c r="E19" i="9"/>
  <c r="D19" i="9"/>
  <c r="C19" i="9"/>
  <c r="B19" i="9"/>
  <c r="A19" i="9"/>
  <c r="J18" i="9"/>
  <c r="I18" i="9"/>
  <c r="H18" i="9"/>
  <c r="G18" i="9"/>
  <c r="E18" i="9"/>
  <c r="D18" i="9"/>
  <c r="C18" i="9"/>
  <c r="B18" i="9"/>
  <c r="A18" i="9"/>
  <c r="J17" i="9"/>
  <c r="I17" i="9"/>
  <c r="H17" i="9"/>
  <c r="G17" i="9"/>
  <c r="E17" i="9"/>
  <c r="D17" i="9"/>
  <c r="C17" i="9"/>
  <c r="B17" i="9"/>
  <c r="A17" i="9"/>
  <c r="J16" i="9"/>
  <c r="I16" i="9"/>
  <c r="H16" i="9"/>
  <c r="G16" i="9"/>
  <c r="E16" i="9"/>
  <c r="D16" i="9"/>
  <c r="C16" i="9"/>
  <c r="B16" i="9"/>
  <c r="A16" i="9"/>
  <c r="J15" i="9"/>
  <c r="I15" i="9"/>
  <c r="H15" i="9"/>
  <c r="G15" i="9"/>
  <c r="E15" i="9"/>
  <c r="D15" i="9"/>
  <c r="C15" i="9"/>
  <c r="B15" i="9"/>
  <c r="A15" i="9"/>
  <c r="J14" i="9"/>
  <c r="I14" i="9"/>
  <c r="H14" i="9"/>
  <c r="G14" i="9"/>
  <c r="E14" i="9"/>
  <c r="D14" i="9"/>
  <c r="C14" i="9"/>
  <c r="A14" i="9"/>
  <c r="J13" i="9"/>
  <c r="I13" i="9"/>
  <c r="H13" i="9"/>
  <c r="G13" i="9"/>
  <c r="E13" i="9"/>
  <c r="D13" i="9"/>
  <c r="C13" i="9"/>
  <c r="A13" i="9"/>
  <c r="J12" i="9"/>
  <c r="I12" i="9"/>
  <c r="H12" i="9"/>
  <c r="G12" i="9"/>
  <c r="E12" i="9"/>
  <c r="D12" i="9"/>
  <c r="C12" i="9"/>
  <c r="A12" i="9"/>
  <c r="J11" i="9"/>
  <c r="I11" i="9"/>
  <c r="H11" i="9"/>
  <c r="G11" i="9"/>
  <c r="E11" i="9"/>
  <c r="D11" i="9"/>
  <c r="C11" i="9"/>
  <c r="A11" i="9"/>
  <c r="J10" i="9"/>
  <c r="I10" i="9"/>
  <c r="H10" i="9"/>
  <c r="G10" i="9"/>
  <c r="E10" i="9"/>
  <c r="D10" i="9"/>
  <c r="C10" i="9"/>
  <c r="A10" i="9"/>
  <c r="J9" i="9"/>
  <c r="I9" i="9"/>
  <c r="H9" i="9"/>
  <c r="G9" i="9"/>
  <c r="E9" i="9"/>
  <c r="D9" i="9"/>
  <c r="C9" i="9"/>
  <c r="A9" i="9"/>
  <c r="J8" i="9"/>
  <c r="I8" i="9"/>
  <c r="H8" i="9"/>
  <c r="G8" i="9"/>
  <c r="E8" i="9"/>
  <c r="D8" i="9"/>
  <c r="C8" i="9"/>
  <c r="A8" i="9"/>
  <c r="J46" i="8"/>
  <c r="I46" i="8"/>
  <c r="H46" i="8"/>
  <c r="G46" i="8"/>
  <c r="E46" i="8"/>
  <c r="D46" i="8"/>
  <c r="C46" i="8"/>
  <c r="B46" i="8"/>
  <c r="A46" i="8"/>
  <c r="J45" i="8"/>
  <c r="I45" i="8"/>
  <c r="H45" i="8"/>
  <c r="G45" i="8"/>
  <c r="E45" i="8"/>
  <c r="D45" i="8"/>
  <c r="C45" i="8"/>
  <c r="B45" i="8"/>
  <c r="A45" i="8"/>
  <c r="J44" i="8"/>
  <c r="I44" i="8"/>
  <c r="H44" i="8"/>
  <c r="G44" i="8"/>
  <c r="E44" i="8"/>
  <c r="D44" i="8"/>
  <c r="C44" i="8"/>
  <c r="B44" i="8"/>
  <c r="A44" i="8"/>
  <c r="J43" i="8"/>
  <c r="I43" i="8"/>
  <c r="H43" i="8"/>
  <c r="G43" i="8"/>
  <c r="E43" i="8"/>
  <c r="D43" i="8"/>
  <c r="C43" i="8"/>
  <c r="B43" i="8"/>
  <c r="A43" i="8"/>
  <c r="J42" i="8"/>
  <c r="I42" i="8"/>
  <c r="H42" i="8"/>
  <c r="G42" i="8"/>
  <c r="E42" i="8"/>
  <c r="D42" i="8"/>
  <c r="C42" i="8"/>
  <c r="B42" i="8"/>
  <c r="A42" i="8"/>
  <c r="J41" i="8"/>
  <c r="I41" i="8"/>
  <c r="H41" i="8"/>
  <c r="G41" i="8"/>
  <c r="E41" i="8"/>
  <c r="D41" i="8"/>
  <c r="C41" i="8"/>
  <c r="B41" i="8"/>
  <c r="A41" i="8"/>
  <c r="J40" i="8"/>
  <c r="I40" i="8"/>
  <c r="H40" i="8"/>
  <c r="G40" i="8"/>
  <c r="E40" i="8"/>
  <c r="D40" i="8"/>
  <c r="C40" i="8"/>
  <c r="B40" i="8"/>
  <c r="A40" i="8"/>
  <c r="J39" i="8"/>
  <c r="I39" i="8"/>
  <c r="H39" i="8"/>
  <c r="G39" i="8"/>
  <c r="E39" i="8"/>
  <c r="D39" i="8"/>
  <c r="C39" i="8"/>
  <c r="B39" i="8"/>
  <c r="A39" i="8"/>
  <c r="J38" i="8"/>
  <c r="I38" i="8"/>
  <c r="H38" i="8"/>
  <c r="G38" i="8"/>
  <c r="E38" i="8"/>
  <c r="D38" i="8"/>
  <c r="C38" i="8"/>
  <c r="B38" i="8"/>
  <c r="A38" i="8"/>
  <c r="J37" i="8"/>
  <c r="I37" i="8"/>
  <c r="H37" i="8"/>
  <c r="G37" i="8"/>
  <c r="E37" i="8"/>
  <c r="D37" i="8"/>
  <c r="C37" i="8"/>
  <c r="B37" i="8"/>
  <c r="A37" i="8"/>
  <c r="J36" i="8"/>
  <c r="I36" i="8"/>
  <c r="H36" i="8"/>
  <c r="G36" i="8"/>
  <c r="E36" i="8"/>
  <c r="D36" i="8"/>
  <c r="C36" i="8"/>
  <c r="B36" i="8"/>
  <c r="A36" i="8"/>
  <c r="J35" i="8"/>
  <c r="I35" i="8"/>
  <c r="H35" i="8"/>
  <c r="G35" i="8"/>
  <c r="E35" i="8"/>
  <c r="D35" i="8"/>
  <c r="C35" i="8"/>
  <c r="B35" i="8"/>
  <c r="A35" i="8"/>
  <c r="J34" i="8"/>
  <c r="I34" i="8"/>
  <c r="H34" i="8"/>
  <c r="G34" i="8"/>
  <c r="E34" i="8"/>
  <c r="D34" i="8"/>
  <c r="C34" i="8"/>
  <c r="B34" i="8"/>
  <c r="A34" i="8"/>
  <c r="J33" i="8"/>
  <c r="I33" i="8"/>
  <c r="H33" i="8"/>
  <c r="G33" i="8"/>
  <c r="E33" i="8"/>
  <c r="D33" i="8"/>
  <c r="C33" i="8"/>
  <c r="B33" i="8"/>
  <c r="A33" i="8"/>
  <c r="J32" i="8"/>
  <c r="I32" i="8"/>
  <c r="H32" i="8"/>
  <c r="G32" i="8"/>
  <c r="E32" i="8"/>
  <c r="D32" i="8"/>
  <c r="C32" i="8"/>
  <c r="B32" i="8"/>
  <c r="A32" i="8"/>
  <c r="J31" i="8"/>
  <c r="I31" i="8"/>
  <c r="H31" i="8"/>
  <c r="G31" i="8"/>
  <c r="E31" i="8"/>
  <c r="D31" i="8"/>
  <c r="C31" i="8"/>
  <c r="B31" i="8"/>
  <c r="A31" i="8"/>
  <c r="J30" i="8"/>
  <c r="I30" i="8"/>
  <c r="H30" i="8"/>
  <c r="G30" i="8"/>
  <c r="E30" i="8"/>
  <c r="D30" i="8"/>
  <c r="C30" i="8"/>
  <c r="B30" i="8"/>
  <c r="A30" i="8"/>
  <c r="J29" i="8"/>
  <c r="I29" i="8"/>
  <c r="H29" i="8"/>
  <c r="G29" i="8"/>
  <c r="E29" i="8"/>
  <c r="D29" i="8"/>
  <c r="C29" i="8"/>
  <c r="B29" i="8"/>
  <c r="A29" i="8"/>
  <c r="J28" i="8"/>
  <c r="I28" i="8"/>
  <c r="H28" i="8"/>
  <c r="G28" i="8"/>
  <c r="E28" i="8"/>
  <c r="D28" i="8"/>
  <c r="C28" i="8"/>
  <c r="B28" i="8"/>
  <c r="A28" i="8"/>
  <c r="J27" i="8"/>
  <c r="I27" i="8"/>
  <c r="H27" i="8"/>
  <c r="G27" i="8"/>
  <c r="E27" i="8"/>
  <c r="D27" i="8"/>
  <c r="C27" i="8"/>
  <c r="B27" i="8"/>
  <c r="A27" i="8"/>
  <c r="J26" i="8"/>
  <c r="I26" i="8"/>
  <c r="H26" i="8"/>
  <c r="G26" i="8"/>
  <c r="E26" i="8"/>
  <c r="D26" i="8"/>
  <c r="C26" i="8"/>
  <c r="B26" i="8"/>
  <c r="A26" i="8"/>
  <c r="J25" i="8"/>
  <c r="I25" i="8"/>
  <c r="H25" i="8"/>
  <c r="G25" i="8"/>
  <c r="E25" i="8"/>
  <c r="D25" i="8"/>
  <c r="C25" i="8"/>
  <c r="B25" i="8"/>
  <c r="A25" i="8"/>
  <c r="J24" i="8"/>
  <c r="I24" i="8"/>
  <c r="H24" i="8"/>
  <c r="G24" i="8"/>
  <c r="E24" i="8"/>
  <c r="D24" i="8"/>
  <c r="C24" i="8"/>
  <c r="B24" i="8"/>
  <c r="A24" i="8"/>
  <c r="J23" i="8"/>
  <c r="I23" i="8"/>
  <c r="H23" i="8"/>
  <c r="G23" i="8"/>
  <c r="E23" i="8"/>
  <c r="D23" i="8"/>
  <c r="C23" i="8"/>
  <c r="B23" i="8"/>
  <c r="A23" i="8"/>
  <c r="J22" i="8"/>
  <c r="I22" i="8"/>
  <c r="H22" i="8"/>
  <c r="G22" i="8"/>
  <c r="E22" i="8"/>
  <c r="D22" i="8"/>
  <c r="C22" i="8"/>
  <c r="B22" i="8"/>
  <c r="A22" i="8"/>
  <c r="J21" i="8"/>
  <c r="I21" i="8"/>
  <c r="H21" i="8"/>
  <c r="G21" i="8"/>
  <c r="E21" i="8"/>
  <c r="D21" i="8"/>
  <c r="C21" i="8"/>
  <c r="B21" i="8"/>
  <c r="A21" i="8"/>
  <c r="J20" i="8"/>
  <c r="I20" i="8"/>
  <c r="H20" i="8"/>
  <c r="G20" i="8"/>
  <c r="E20" i="8"/>
  <c r="D20" i="8"/>
  <c r="C20" i="8"/>
  <c r="B20" i="8"/>
  <c r="A20" i="8"/>
  <c r="J19" i="8"/>
  <c r="I19" i="8"/>
  <c r="H19" i="8"/>
  <c r="G19" i="8"/>
  <c r="E19" i="8"/>
  <c r="D19" i="8"/>
  <c r="C19" i="8"/>
  <c r="B19" i="8"/>
  <c r="A19" i="8"/>
  <c r="J18" i="8"/>
  <c r="I18" i="8"/>
  <c r="H18" i="8"/>
  <c r="G18" i="8"/>
  <c r="E18" i="8"/>
  <c r="D18" i="8"/>
  <c r="C18" i="8"/>
  <c r="B18" i="8"/>
  <c r="A18" i="8"/>
  <c r="J17" i="8"/>
  <c r="I17" i="8"/>
  <c r="H17" i="8"/>
  <c r="G17" i="8"/>
  <c r="E17" i="8"/>
  <c r="D17" i="8"/>
  <c r="C17" i="8"/>
  <c r="B17" i="8"/>
  <c r="A17" i="8"/>
  <c r="J16" i="8"/>
  <c r="I16" i="8"/>
  <c r="H16" i="8"/>
  <c r="G16" i="8"/>
  <c r="E16" i="8"/>
  <c r="D16" i="8"/>
  <c r="C16" i="8"/>
  <c r="B16" i="8"/>
  <c r="A16" i="8"/>
  <c r="J15" i="8"/>
  <c r="I15" i="8"/>
  <c r="H15" i="8"/>
  <c r="G15" i="8"/>
  <c r="E15" i="8"/>
  <c r="D15" i="8"/>
  <c r="C15" i="8"/>
  <c r="B15" i="8"/>
  <c r="A15" i="8"/>
  <c r="J14" i="8"/>
  <c r="I14" i="8"/>
  <c r="H14" i="8"/>
  <c r="G14" i="8"/>
  <c r="E14" i="8"/>
  <c r="D14" i="8"/>
  <c r="C14" i="8"/>
  <c r="A14" i="8"/>
  <c r="J13" i="8"/>
  <c r="I13" i="8"/>
  <c r="H13" i="8"/>
  <c r="G13" i="8"/>
  <c r="E13" i="8"/>
  <c r="D13" i="8"/>
  <c r="C13" i="8"/>
  <c r="A13" i="8"/>
  <c r="J12" i="8"/>
  <c r="I12" i="8"/>
  <c r="H12" i="8"/>
  <c r="G12" i="8"/>
  <c r="E12" i="8"/>
  <c r="D12" i="8"/>
  <c r="C12" i="8"/>
  <c r="A12" i="8"/>
  <c r="J11" i="8"/>
  <c r="I11" i="8"/>
  <c r="H11" i="8"/>
  <c r="G11" i="8"/>
  <c r="E11" i="8"/>
  <c r="D11" i="8"/>
  <c r="C11" i="8"/>
  <c r="A11" i="8"/>
  <c r="J10" i="8"/>
  <c r="I10" i="8"/>
  <c r="H10" i="8"/>
  <c r="G10" i="8"/>
  <c r="E10" i="8"/>
  <c r="D10" i="8"/>
  <c r="C10" i="8"/>
  <c r="A10" i="8"/>
  <c r="J9" i="8"/>
  <c r="I9" i="8"/>
  <c r="H9" i="8"/>
  <c r="G9" i="8"/>
  <c r="E9" i="8"/>
  <c r="D9" i="8"/>
  <c r="C9" i="8"/>
  <c r="A9" i="8"/>
  <c r="J8" i="8"/>
  <c r="I8" i="8"/>
  <c r="H8" i="8"/>
  <c r="G8" i="8"/>
  <c r="E8" i="8"/>
  <c r="D8" i="8"/>
  <c r="C8" i="8"/>
  <c r="A8" i="8"/>
  <c r="J35" i="7"/>
  <c r="I35" i="7"/>
  <c r="H35" i="7"/>
  <c r="G35" i="7"/>
  <c r="E35" i="7"/>
  <c r="D35" i="7"/>
  <c r="C35" i="7"/>
  <c r="B35" i="7"/>
  <c r="A35" i="7"/>
  <c r="J34" i="7"/>
  <c r="I34" i="7"/>
  <c r="H34" i="7"/>
  <c r="G34" i="7"/>
  <c r="E34" i="7"/>
  <c r="D34" i="7"/>
  <c r="C34" i="7"/>
  <c r="B34" i="7"/>
  <c r="A34" i="7"/>
  <c r="J33" i="7"/>
  <c r="I33" i="7"/>
  <c r="H33" i="7"/>
  <c r="G33" i="7"/>
  <c r="E33" i="7"/>
  <c r="D33" i="7"/>
  <c r="C33" i="7"/>
  <c r="B33" i="7"/>
  <c r="A33" i="7"/>
  <c r="J32" i="7"/>
  <c r="I32" i="7"/>
  <c r="H32" i="7"/>
  <c r="G32" i="7"/>
  <c r="E32" i="7"/>
  <c r="D32" i="7"/>
  <c r="C32" i="7"/>
  <c r="B32" i="7"/>
  <c r="A32" i="7"/>
  <c r="J31" i="7"/>
  <c r="I31" i="7"/>
  <c r="H31" i="7"/>
  <c r="G31" i="7"/>
  <c r="E31" i="7"/>
  <c r="D31" i="7"/>
  <c r="C31" i="7"/>
  <c r="B31" i="7"/>
  <c r="A31" i="7"/>
  <c r="J30" i="7"/>
  <c r="I30" i="7"/>
  <c r="H30" i="7"/>
  <c r="G30" i="7"/>
  <c r="E30" i="7"/>
  <c r="D30" i="7"/>
  <c r="C30" i="7"/>
  <c r="B30" i="7"/>
  <c r="A30" i="7"/>
  <c r="J29" i="7"/>
  <c r="I29" i="7"/>
  <c r="H29" i="7"/>
  <c r="G29" i="7"/>
  <c r="E29" i="7"/>
  <c r="D29" i="7"/>
  <c r="C29" i="7"/>
  <c r="B29" i="7"/>
  <c r="A29" i="7"/>
  <c r="J28" i="7"/>
  <c r="I28" i="7"/>
  <c r="H28" i="7"/>
  <c r="G28" i="7"/>
  <c r="E28" i="7"/>
  <c r="D28" i="7"/>
  <c r="C28" i="7"/>
  <c r="B28" i="7"/>
  <c r="A28" i="7"/>
  <c r="J27" i="7"/>
  <c r="I27" i="7"/>
  <c r="H27" i="7"/>
  <c r="G27" i="7"/>
  <c r="E27" i="7"/>
  <c r="D27" i="7"/>
  <c r="C27" i="7"/>
  <c r="B27" i="7"/>
  <c r="A27" i="7"/>
  <c r="J26" i="7"/>
  <c r="I26" i="7"/>
  <c r="H26" i="7"/>
  <c r="G26" i="7"/>
  <c r="E26" i="7"/>
  <c r="D26" i="7"/>
  <c r="C26" i="7"/>
  <c r="B26" i="7"/>
  <c r="A26" i="7"/>
  <c r="J25" i="7"/>
  <c r="I25" i="7"/>
  <c r="H25" i="7"/>
  <c r="G25" i="7"/>
  <c r="E25" i="7"/>
  <c r="D25" i="7"/>
  <c r="C25" i="7"/>
  <c r="B25" i="7"/>
  <c r="A25" i="7"/>
  <c r="J24" i="7"/>
  <c r="I24" i="7"/>
  <c r="H24" i="7"/>
  <c r="G24" i="7"/>
  <c r="E24" i="7"/>
  <c r="D24" i="7"/>
  <c r="C24" i="7"/>
  <c r="B24" i="7"/>
  <c r="A24" i="7"/>
  <c r="J23" i="7"/>
  <c r="I23" i="7"/>
  <c r="H23" i="7"/>
  <c r="G23" i="7"/>
  <c r="E23" i="7"/>
  <c r="D23" i="7"/>
  <c r="C23" i="7"/>
  <c r="B23" i="7"/>
  <c r="A23" i="7"/>
  <c r="J22" i="7"/>
  <c r="I22" i="7"/>
  <c r="H22" i="7"/>
  <c r="G22" i="7"/>
  <c r="E22" i="7"/>
  <c r="D22" i="7"/>
  <c r="C22" i="7"/>
  <c r="B22" i="7"/>
  <c r="A22" i="7"/>
  <c r="J21" i="7"/>
  <c r="I21" i="7"/>
  <c r="H21" i="7"/>
  <c r="G21" i="7"/>
  <c r="E21" i="7"/>
  <c r="D21" i="7"/>
  <c r="C21" i="7"/>
  <c r="B21" i="7"/>
  <c r="A21" i="7"/>
  <c r="J20" i="7"/>
  <c r="I20" i="7"/>
  <c r="H20" i="7"/>
  <c r="G20" i="7"/>
  <c r="E20" i="7"/>
  <c r="D20" i="7"/>
  <c r="C20" i="7"/>
  <c r="B20" i="7"/>
  <c r="A20" i="7"/>
  <c r="J19" i="7"/>
  <c r="I19" i="7"/>
  <c r="H19" i="7"/>
  <c r="G19" i="7"/>
  <c r="E19" i="7"/>
  <c r="D19" i="7"/>
  <c r="C19" i="7"/>
  <c r="B19" i="7"/>
  <c r="A19" i="7"/>
  <c r="J18" i="7"/>
  <c r="I18" i="7"/>
  <c r="H18" i="7"/>
  <c r="G18" i="7"/>
  <c r="E18" i="7"/>
  <c r="D18" i="7"/>
  <c r="C18" i="7"/>
  <c r="B18" i="7"/>
  <c r="A18" i="7"/>
  <c r="J17" i="7"/>
  <c r="I17" i="7"/>
  <c r="H17" i="7"/>
  <c r="G17" i="7"/>
  <c r="E17" i="7"/>
  <c r="D17" i="7"/>
  <c r="C17" i="7"/>
  <c r="B17" i="7"/>
  <c r="A17" i="7"/>
  <c r="J16" i="7"/>
  <c r="I16" i="7"/>
  <c r="H16" i="7"/>
  <c r="G16" i="7"/>
  <c r="E16" i="7"/>
  <c r="D16" i="7"/>
  <c r="C16" i="7"/>
  <c r="B16" i="7"/>
  <c r="A16" i="7"/>
  <c r="J15" i="7"/>
  <c r="I15" i="7"/>
  <c r="H15" i="7"/>
  <c r="G15" i="7"/>
  <c r="E15" i="7"/>
  <c r="D15" i="7"/>
  <c r="C15" i="7"/>
  <c r="B15" i="7"/>
  <c r="A15" i="7"/>
  <c r="J14" i="7"/>
  <c r="I14" i="7"/>
  <c r="H14" i="7"/>
  <c r="G14" i="7"/>
  <c r="E14" i="7"/>
  <c r="D14" i="7"/>
  <c r="C14" i="7"/>
  <c r="A14" i="7"/>
  <c r="J13" i="7"/>
  <c r="I13" i="7"/>
  <c r="H13" i="7"/>
  <c r="G13" i="7"/>
  <c r="E13" i="7"/>
  <c r="D13" i="7"/>
  <c r="C13" i="7"/>
  <c r="A13" i="7"/>
  <c r="J12" i="7"/>
  <c r="I12" i="7"/>
  <c r="H12" i="7"/>
  <c r="G12" i="7"/>
  <c r="E12" i="7"/>
  <c r="D12" i="7"/>
  <c r="C12" i="7"/>
  <c r="A12" i="7"/>
  <c r="J11" i="7"/>
  <c r="I11" i="7"/>
  <c r="H11" i="7"/>
  <c r="G11" i="7"/>
  <c r="E11" i="7"/>
  <c r="D11" i="7"/>
  <c r="C11" i="7"/>
  <c r="A11" i="7"/>
  <c r="J10" i="7"/>
  <c r="I10" i="7"/>
  <c r="H10" i="7"/>
  <c r="G10" i="7"/>
  <c r="E10" i="7"/>
  <c r="D10" i="7"/>
  <c r="C10" i="7"/>
  <c r="A10" i="7"/>
  <c r="J9" i="7"/>
  <c r="I9" i="7"/>
  <c r="H9" i="7"/>
  <c r="G9" i="7"/>
  <c r="E9" i="7"/>
  <c r="D9" i="7"/>
  <c r="C9" i="7"/>
  <c r="A9" i="7"/>
  <c r="J8" i="7"/>
  <c r="I8" i="7"/>
  <c r="H8" i="7"/>
  <c r="G8" i="7"/>
  <c r="E8" i="7"/>
  <c r="D8" i="7"/>
  <c r="C8" i="7"/>
  <c r="A8" i="7"/>
  <c r="J20" i="6"/>
  <c r="I20" i="6"/>
  <c r="H20" i="6"/>
  <c r="G20" i="6"/>
  <c r="E20" i="6"/>
  <c r="D20" i="6"/>
  <c r="C20" i="6"/>
  <c r="B20" i="6"/>
  <c r="A20" i="6"/>
  <c r="J19" i="6"/>
  <c r="I19" i="6"/>
  <c r="H19" i="6"/>
  <c r="G19" i="6"/>
  <c r="E19" i="6"/>
  <c r="D19" i="6"/>
  <c r="C19" i="6"/>
  <c r="B19" i="6"/>
  <c r="A19" i="6"/>
  <c r="J18" i="6"/>
  <c r="I18" i="6"/>
  <c r="H18" i="6"/>
  <c r="G18" i="6"/>
  <c r="E18" i="6"/>
  <c r="D18" i="6"/>
  <c r="C18" i="6"/>
  <c r="B18" i="6"/>
  <c r="A18" i="6"/>
  <c r="J17" i="6"/>
  <c r="I17" i="6"/>
  <c r="H17" i="6"/>
  <c r="G17" i="6"/>
  <c r="E17" i="6"/>
  <c r="D17" i="6"/>
  <c r="C17" i="6"/>
  <c r="B17" i="6"/>
  <c r="A17" i="6"/>
  <c r="J16" i="6"/>
  <c r="I16" i="6"/>
  <c r="H16" i="6"/>
  <c r="G16" i="6"/>
  <c r="E16" i="6"/>
  <c r="D16" i="6"/>
  <c r="C16" i="6"/>
  <c r="B16" i="6"/>
  <c r="A16" i="6"/>
  <c r="J15" i="6"/>
  <c r="I15" i="6"/>
  <c r="H15" i="6"/>
  <c r="G15" i="6"/>
  <c r="E15" i="6"/>
  <c r="D15" i="6"/>
  <c r="C15" i="6"/>
  <c r="B15" i="6"/>
  <c r="A15" i="6"/>
  <c r="J14" i="6"/>
  <c r="I14" i="6"/>
  <c r="H14" i="6"/>
  <c r="G14" i="6"/>
  <c r="E14" i="6"/>
  <c r="D14" i="6"/>
  <c r="C14" i="6"/>
  <c r="A14" i="6"/>
  <c r="J13" i="6"/>
  <c r="I13" i="6"/>
  <c r="H13" i="6"/>
  <c r="G13" i="6"/>
  <c r="E13" i="6"/>
  <c r="D13" i="6"/>
  <c r="C13" i="6"/>
  <c r="A13" i="6"/>
  <c r="J12" i="6"/>
  <c r="I12" i="6"/>
  <c r="H12" i="6"/>
  <c r="G12" i="6"/>
  <c r="E12" i="6"/>
  <c r="D12" i="6"/>
  <c r="C12" i="6"/>
  <c r="A12" i="6"/>
  <c r="J11" i="6"/>
  <c r="I11" i="6"/>
  <c r="H11" i="6"/>
  <c r="G11" i="6"/>
  <c r="E11" i="6"/>
  <c r="D11" i="6"/>
  <c r="C11" i="6"/>
  <c r="A11" i="6"/>
  <c r="J10" i="6"/>
  <c r="I10" i="6"/>
  <c r="H10" i="6"/>
  <c r="G10" i="6"/>
  <c r="E10" i="6"/>
  <c r="D10" i="6"/>
  <c r="C10" i="6"/>
  <c r="A10" i="6"/>
  <c r="J9" i="6"/>
  <c r="I9" i="6"/>
  <c r="H9" i="6"/>
  <c r="G9" i="6"/>
  <c r="E9" i="6"/>
  <c r="D9" i="6"/>
  <c r="C9" i="6"/>
  <c r="A9" i="6"/>
  <c r="J8" i="6"/>
  <c r="I8" i="6"/>
  <c r="H8" i="6"/>
  <c r="G8" i="6"/>
  <c r="E8" i="6"/>
  <c r="D8" i="6"/>
  <c r="C8" i="6"/>
  <c r="A8" i="6"/>
  <c r="J18" i="5"/>
  <c r="I18" i="5"/>
  <c r="H18" i="5"/>
  <c r="G18" i="5"/>
  <c r="E18" i="5"/>
  <c r="D18" i="5"/>
  <c r="C18" i="5"/>
  <c r="B18" i="5"/>
  <c r="A18" i="5"/>
  <c r="J17" i="5"/>
  <c r="I17" i="5"/>
  <c r="H17" i="5"/>
  <c r="G17" i="5"/>
  <c r="E17" i="5"/>
  <c r="D17" i="5"/>
  <c r="C17" i="5"/>
  <c r="B17" i="5"/>
  <c r="A17" i="5"/>
  <c r="J16" i="5"/>
  <c r="I16" i="5"/>
  <c r="H16" i="5"/>
  <c r="G16" i="5"/>
  <c r="E16" i="5"/>
  <c r="D16" i="5"/>
  <c r="C16" i="5"/>
  <c r="B16" i="5"/>
  <c r="A16" i="5"/>
  <c r="J15" i="5"/>
  <c r="I15" i="5"/>
  <c r="H15" i="5"/>
  <c r="G15" i="5"/>
  <c r="E15" i="5"/>
  <c r="D15" i="5"/>
  <c r="C15" i="5"/>
  <c r="B15" i="5"/>
  <c r="A15" i="5"/>
  <c r="J14" i="5"/>
  <c r="I14" i="5"/>
  <c r="H14" i="5"/>
  <c r="G14" i="5"/>
  <c r="E14" i="5"/>
  <c r="D14" i="5"/>
  <c r="C14" i="5"/>
  <c r="A14" i="5"/>
  <c r="J13" i="5"/>
  <c r="I13" i="5"/>
  <c r="H13" i="5"/>
  <c r="G13" i="5"/>
  <c r="E13" i="5"/>
  <c r="D13" i="5"/>
  <c r="C13" i="5"/>
  <c r="A13" i="5"/>
  <c r="J12" i="5"/>
  <c r="I12" i="5"/>
  <c r="H12" i="5"/>
  <c r="G12" i="5"/>
  <c r="E12" i="5"/>
  <c r="D12" i="5"/>
  <c r="C12" i="5"/>
  <c r="A12" i="5"/>
  <c r="J11" i="5"/>
  <c r="I11" i="5"/>
  <c r="H11" i="5"/>
  <c r="G11" i="5"/>
  <c r="E11" i="5"/>
  <c r="D11" i="5"/>
  <c r="C11" i="5"/>
  <c r="A11" i="5"/>
  <c r="J10" i="5"/>
  <c r="I10" i="5"/>
  <c r="H10" i="5"/>
  <c r="G10" i="5"/>
  <c r="E10" i="5"/>
  <c r="D10" i="5"/>
  <c r="C10" i="5"/>
  <c r="A10" i="5"/>
  <c r="J9" i="5"/>
  <c r="I9" i="5"/>
  <c r="H9" i="5"/>
  <c r="G9" i="5"/>
  <c r="E9" i="5"/>
  <c r="D9" i="5"/>
  <c r="C9" i="5"/>
  <c r="A9" i="5"/>
  <c r="J8" i="5"/>
  <c r="I8" i="5"/>
  <c r="H8" i="5"/>
  <c r="G8" i="5"/>
  <c r="E8" i="5"/>
  <c r="D8" i="5"/>
  <c r="C8" i="5"/>
  <c r="A8" i="5"/>
  <c r="J14" i="4"/>
  <c r="I14" i="4"/>
  <c r="H14" i="4"/>
  <c r="G14" i="4"/>
  <c r="E14" i="4"/>
  <c r="D14" i="4"/>
  <c r="C14" i="4"/>
  <c r="B14" i="4"/>
  <c r="A14" i="4"/>
  <c r="J13" i="4"/>
  <c r="I13" i="4"/>
  <c r="H13" i="4"/>
  <c r="G13" i="4"/>
  <c r="E13" i="4"/>
  <c r="D13" i="4"/>
  <c r="C13" i="4"/>
  <c r="B13" i="4"/>
  <c r="A13" i="4"/>
  <c r="J12" i="4"/>
  <c r="I12" i="4"/>
  <c r="H12" i="4"/>
  <c r="G12" i="4"/>
  <c r="E12" i="4"/>
  <c r="D12" i="4"/>
  <c r="C12" i="4"/>
  <c r="B12" i="4"/>
  <c r="A12" i="4"/>
  <c r="J11" i="4"/>
  <c r="I11" i="4"/>
  <c r="H11" i="4"/>
  <c r="G11" i="4"/>
  <c r="E11" i="4"/>
  <c r="D11" i="4"/>
  <c r="C11" i="4"/>
  <c r="B11" i="4"/>
  <c r="A11" i="4"/>
  <c r="J10" i="4"/>
  <c r="I10" i="4"/>
  <c r="H10" i="4"/>
  <c r="G10" i="4"/>
  <c r="E10" i="4"/>
  <c r="D10" i="4"/>
  <c r="C10" i="4"/>
  <c r="B10" i="4"/>
  <c r="A10" i="4"/>
  <c r="J9" i="4"/>
  <c r="I9" i="4"/>
  <c r="H9" i="4"/>
  <c r="G9" i="4"/>
  <c r="E9" i="4"/>
  <c r="D9" i="4"/>
  <c r="C9" i="4"/>
  <c r="B9" i="4"/>
  <c r="A9" i="4"/>
  <c r="J8" i="4"/>
  <c r="I8" i="4"/>
  <c r="H8" i="4"/>
  <c r="G8" i="4"/>
  <c r="E8" i="4"/>
  <c r="D8" i="4"/>
  <c r="C8" i="4"/>
  <c r="B8" i="4"/>
  <c r="A8" i="4"/>
  <c r="F7" i="3"/>
  <c r="B7" i="3"/>
  <c r="F6" i="3"/>
  <c r="B6" i="3"/>
  <c r="F5" i="3"/>
  <c r="B5" i="3"/>
  <c r="B4" i="3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G3" i="2"/>
  <c r="F3" i="2"/>
  <c r="D3" i="2"/>
  <c r="C3" i="2"/>
  <c r="U1" i="2"/>
  <c r="J4" i="3" s="1"/>
  <c r="T1" i="2"/>
  <c r="I4" i="3" s="1"/>
  <c r="S1" i="2"/>
  <c r="H4" i="3" s="1"/>
  <c r="R1" i="2"/>
  <c r="G4" i="3" s="1"/>
  <c r="P1" i="2"/>
  <c r="E4" i="3" s="1"/>
  <c r="O1" i="2"/>
  <c r="D4" i="3" s="1"/>
  <c r="N1" i="2"/>
  <c r="C4" i="3" s="1"/>
  <c r="F30" i="10" l="1"/>
  <c r="F38" i="10"/>
  <c r="F46" i="10"/>
  <c r="F54" i="10"/>
  <c r="F62" i="10"/>
  <c r="F70" i="10"/>
  <c r="F78" i="10"/>
  <c r="F23" i="8"/>
  <c r="F17" i="9"/>
  <c r="F86" i="10"/>
  <c r="F55" i="9"/>
  <c r="F60" i="10"/>
  <c r="F68" i="10"/>
  <c r="F84" i="10"/>
  <c r="F12" i="4"/>
  <c r="F87" i="9"/>
  <c r="F31" i="7"/>
  <c r="F85" i="9"/>
  <c r="F54" i="9"/>
  <c r="F19" i="10"/>
  <c r="F8" i="4"/>
  <c r="F42" i="9"/>
  <c r="F68" i="9"/>
  <c r="F33" i="10"/>
  <c r="F41" i="10"/>
  <c r="F49" i="10"/>
  <c r="F57" i="10"/>
  <c r="F65" i="10"/>
  <c r="F17" i="7"/>
  <c r="F33" i="7"/>
  <c r="F20" i="8"/>
  <c r="F29" i="8"/>
  <c r="F22" i="9"/>
  <c r="F10" i="5"/>
  <c r="F17" i="6"/>
  <c r="F32" i="9"/>
  <c r="F18" i="5"/>
  <c r="F12" i="6"/>
  <c r="F23" i="7"/>
  <c r="F18" i="8"/>
  <c r="F35" i="9"/>
  <c r="F50" i="9"/>
  <c r="F74" i="9"/>
  <c r="F15" i="10"/>
  <c r="F23" i="10"/>
  <c r="F27" i="8"/>
  <c r="F35" i="8"/>
  <c r="F43" i="8"/>
  <c r="F13" i="9"/>
  <c r="F51" i="9"/>
  <c r="F83" i="9"/>
  <c r="F30" i="9"/>
  <c r="F45" i="9"/>
  <c r="F77" i="9"/>
  <c r="F19" i="7"/>
  <c r="F8" i="8"/>
  <c r="F30" i="8"/>
  <c r="F39" i="8"/>
  <c r="F62" i="9"/>
  <c r="F78" i="9"/>
  <c r="F86" i="9"/>
  <c r="F27" i="10"/>
  <c r="F16" i="5"/>
  <c r="F29" i="7"/>
  <c r="F17" i="8"/>
  <c r="F24" i="8"/>
  <c r="F18" i="9"/>
  <c r="F48" i="9"/>
  <c r="F80" i="9"/>
  <c r="F89" i="9"/>
  <c r="F8" i="10"/>
  <c r="F16" i="7"/>
  <c r="F25" i="7"/>
  <c r="F31" i="8"/>
  <c r="F46" i="8"/>
  <c r="F16" i="9"/>
  <c r="F23" i="9"/>
  <c r="F46" i="9"/>
  <c r="F61" i="9"/>
  <c r="F70" i="9"/>
  <c r="F16" i="10"/>
  <c r="F17" i="10"/>
  <c r="F11" i="5"/>
  <c r="F12" i="5"/>
  <c r="F13" i="5"/>
  <c r="F14" i="5"/>
  <c r="F73" i="10"/>
  <c r="F81" i="10"/>
  <c r="F89" i="10"/>
  <c r="F19" i="8"/>
  <c r="F19" i="9"/>
  <c r="F26" i="9"/>
  <c r="F34" i="9"/>
  <c r="F49" i="9"/>
  <c r="F64" i="9"/>
  <c r="F26" i="10"/>
  <c r="F21" i="7"/>
  <c r="F9" i="8"/>
  <c r="F10" i="8"/>
  <c r="F12" i="8"/>
  <c r="F13" i="8"/>
  <c r="F36" i="8"/>
  <c r="F36" i="9"/>
  <c r="F58" i="9"/>
  <c r="F66" i="9"/>
  <c r="F52" i="10"/>
  <c r="F17" i="5"/>
  <c r="F9" i="6"/>
  <c r="F11" i="6"/>
  <c r="F20" i="6"/>
  <c r="F8" i="7"/>
  <c r="F10" i="7"/>
  <c r="F11" i="7"/>
  <c r="F12" i="7"/>
  <c r="F13" i="7"/>
  <c r="F22" i="7"/>
  <c r="F15" i="8"/>
  <c r="F45" i="8"/>
  <c r="F8" i="9"/>
  <c r="F9" i="9"/>
  <c r="F14" i="9"/>
  <c r="F29" i="9"/>
  <c r="F38" i="9"/>
  <c r="F67" i="9"/>
  <c r="F82" i="9"/>
  <c r="F9" i="10"/>
  <c r="F10" i="10"/>
  <c r="F11" i="10"/>
  <c r="F12" i="10"/>
  <c r="F13" i="10"/>
  <c r="F22" i="10"/>
  <c r="F29" i="10"/>
  <c r="F37" i="10"/>
  <c r="F45" i="10"/>
  <c r="F77" i="10"/>
  <c r="F85" i="10"/>
  <c r="F30" i="7"/>
  <c r="F25" i="8"/>
  <c r="F44" i="8"/>
  <c r="F24" i="9"/>
  <c r="F37" i="9"/>
  <c r="F43" i="9"/>
  <c r="F56" i="9"/>
  <c r="F69" i="9"/>
  <c r="F75" i="9"/>
  <c r="F88" i="9"/>
  <c r="F18" i="10"/>
  <c r="F24" i="10"/>
  <c r="F31" i="10"/>
  <c r="F39" i="10"/>
  <c r="F47" i="10"/>
  <c r="F55" i="10"/>
  <c r="F63" i="10"/>
  <c r="F71" i="10"/>
  <c r="F79" i="10"/>
  <c r="F87" i="10"/>
  <c r="E24" i="3"/>
  <c r="F14" i="4"/>
  <c r="F8" i="5"/>
  <c r="F9" i="5"/>
  <c r="F8" i="6"/>
  <c r="F10" i="6"/>
  <c r="F19" i="6"/>
  <c r="F9" i="7"/>
  <c r="F18" i="7"/>
  <c r="F32" i="7"/>
  <c r="F14" i="8"/>
  <c r="F26" i="8"/>
  <c r="F32" i="8"/>
  <c r="F33" i="8"/>
  <c r="F25" i="9"/>
  <c r="F31" i="9"/>
  <c r="F44" i="9"/>
  <c r="F57" i="9"/>
  <c r="F63" i="9"/>
  <c r="F76" i="9"/>
  <c r="F25" i="10"/>
  <c r="F32" i="10"/>
  <c r="F40" i="10"/>
  <c r="F48" i="10"/>
  <c r="F56" i="10"/>
  <c r="F64" i="10"/>
  <c r="F72" i="10"/>
  <c r="F80" i="10"/>
  <c r="F88" i="10"/>
  <c r="F24" i="7"/>
  <c r="F13" i="6"/>
  <c r="F20" i="7"/>
  <c r="F26" i="7"/>
  <c r="F21" i="8"/>
  <c r="F34" i="8"/>
  <c r="F10" i="9"/>
  <c r="F33" i="9"/>
  <c r="F52" i="9"/>
  <c r="F65" i="9"/>
  <c r="F34" i="10"/>
  <c r="F42" i="10"/>
  <c r="F50" i="10"/>
  <c r="F58" i="10"/>
  <c r="F66" i="10"/>
  <c r="F74" i="10"/>
  <c r="F82" i="10"/>
  <c r="F90" i="10"/>
  <c r="F38" i="8"/>
  <c r="F9" i="4"/>
  <c r="F12" i="9"/>
  <c r="F39" i="9"/>
  <c r="F71" i="9"/>
  <c r="F84" i="9"/>
  <c r="F20" i="10"/>
  <c r="F10" i="4"/>
  <c r="F15" i="5"/>
  <c r="F15" i="6"/>
  <c r="F14" i="7"/>
  <c r="F27" i="7"/>
  <c r="F16" i="8"/>
  <c r="F22" i="8"/>
  <c r="F28" i="8"/>
  <c r="F41" i="8"/>
  <c r="F21" i="9"/>
  <c r="F27" i="9"/>
  <c r="F40" i="9"/>
  <c r="F53" i="9"/>
  <c r="F59" i="9"/>
  <c r="F72" i="9"/>
  <c r="F21" i="10"/>
  <c r="F35" i="10"/>
  <c r="F43" i="10"/>
  <c r="F51" i="10"/>
  <c r="F59" i="10"/>
  <c r="F67" i="10"/>
  <c r="F75" i="10"/>
  <c r="F83" i="10"/>
  <c r="F91" i="10"/>
  <c r="F14" i="6"/>
  <c r="F40" i="8"/>
  <c r="F11" i="9"/>
  <c r="F20" i="9"/>
  <c r="F14" i="10"/>
  <c r="B14" i="3"/>
  <c r="F11" i="4"/>
  <c r="F16" i="6"/>
  <c r="F15" i="7"/>
  <c r="F28" i="7"/>
  <c r="F34" i="7"/>
  <c r="F35" i="7"/>
  <c r="F42" i="8"/>
  <c r="F15" i="9"/>
  <c r="F28" i="9"/>
  <c r="F41" i="9"/>
  <c r="F47" i="9"/>
  <c r="F60" i="9"/>
  <c r="F73" i="9"/>
  <c r="F79" i="9"/>
  <c r="F28" i="10"/>
  <c r="F36" i="10"/>
  <c r="F44" i="10"/>
  <c r="F76" i="10"/>
  <c r="F11" i="8"/>
  <c r="F37" i="8"/>
  <c r="F81" i="9"/>
  <c r="F53" i="10"/>
  <c r="F61" i="10"/>
  <c r="F69" i="10"/>
  <c r="F93" i="10"/>
  <c r="E33" i="3"/>
  <c r="F4" i="3"/>
  <c r="F92" i="10"/>
  <c r="E30" i="3"/>
  <c r="E23" i="3"/>
  <c r="E31" i="3"/>
  <c r="E25" i="3"/>
  <c r="E26" i="3"/>
  <c r="E34" i="3"/>
  <c r="E19" i="3"/>
  <c r="E27" i="3"/>
  <c r="E35" i="3"/>
  <c r="E32" i="3"/>
  <c r="E20" i="3"/>
  <c r="E28" i="3"/>
  <c r="E36" i="3"/>
  <c r="E21" i="3"/>
  <c r="E29" i="3"/>
  <c r="E22" i="3"/>
  <c r="J5" i="4"/>
  <c r="C7" i="10"/>
  <c r="B11" i="3"/>
  <c r="F13" i="4"/>
  <c r="G6" i="5"/>
  <c r="F18" i="6"/>
  <c r="B5" i="4"/>
  <c r="E6" i="7"/>
  <c r="B12" i="3"/>
  <c r="B6" i="4"/>
  <c r="C5" i="4"/>
  <c r="I7" i="4"/>
  <c r="B13" i="3"/>
  <c r="B4" i="5"/>
  <c r="D7" i="7"/>
  <c r="J6" i="4"/>
  <c r="I6" i="4"/>
  <c r="E5" i="6"/>
  <c r="H7" i="4"/>
  <c r="D6" i="6"/>
  <c r="C7" i="6"/>
  <c r="H5" i="5"/>
  <c r="B9" i="3"/>
  <c r="G5" i="4"/>
  <c r="E7" i="4"/>
  <c r="E5" i="5"/>
  <c r="D6" i="5"/>
  <c r="C7" i="5"/>
  <c r="B5" i="6"/>
  <c r="J5" i="6"/>
  <c r="I6" i="6"/>
  <c r="H7" i="6"/>
  <c r="C5" i="7"/>
  <c r="B6" i="7"/>
  <c r="J6" i="7"/>
  <c r="I7" i="7"/>
  <c r="E6" i="8"/>
  <c r="D7" i="8"/>
  <c r="G5" i="9"/>
  <c r="E7" i="9"/>
  <c r="E6" i="10"/>
  <c r="D7" i="10"/>
  <c r="B10" i="3"/>
  <c r="H5" i="4"/>
  <c r="G6" i="4"/>
  <c r="E6" i="5"/>
  <c r="D7" i="5"/>
  <c r="C5" i="6"/>
  <c r="B6" i="6"/>
  <c r="J6" i="6"/>
  <c r="I7" i="6"/>
  <c r="D5" i="7"/>
  <c r="C6" i="7"/>
  <c r="B7" i="7"/>
  <c r="J7" i="7"/>
  <c r="G5" i="8"/>
  <c r="E7" i="8"/>
  <c r="H5" i="9"/>
  <c r="G6" i="9"/>
  <c r="G5" i="10"/>
  <c r="E7" i="10"/>
  <c r="B4" i="4"/>
  <c r="I5" i="4"/>
  <c r="H6" i="4"/>
  <c r="G7" i="4"/>
  <c r="G5" i="5"/>
  <c r="E7" i="5"/>
  <c r="D5" i="6"/>
  <c r="C6" i="6"/>
  <c r="B7" i="6"/>
  <c r="J7" i="6"/>
  <c r="E5" i="7"/>
  <c r="D6" i="7"/>
  <c r="C7" i="7"/>
  <c r="H5" i="8"/>
  <c r="G6" i="8"/>
  <c r="B4" i="9"/>
  <c r="I5" i="9"/>
  <c r="H6" i="9"/>
  <c r="G7" i="9"/>
  <c r="H5" i="10"/>
  <c r="G6" i="10"/>
  <c r="B4" i="8"/>
  <c r="I5" i="8"/>
  <c r="H6" i="8"/>
  <c r="G7" i="8"/>
  <c r="B5" i="9"/>
  <c r="J5" i="9"/>
  <c r="I6" i="9"/>
  <c r="H7" i="9"/>
  <c r="B4" i="10"/>
  <c r="I5" i="10"/>
  <c r="H6" i="10"/>
  <c r="G7" i="10"/>
  <c r="I5" i="5"/>
  <c r="H6" i="5"/>
  <c r="G7" i="5"/>
  <c r="E6" i="6"/>
  <c r="D7" i="6"/>
  <c r="G5" i="7"/>
  <c r="E7" i="7"/>
  <c r="B5" i="8"/>
  <c r="J5" i="8"/>
  <c r="I6" i="8"/>
  <c r="H7" i="8"/>
  <c r="C5" i="9"/>
  <c r="B6" i="9"/>
  <c r="J6" i="9"/>
  <c r="I7" i="9"/>
  <c r="B5" i="10"/>
  <c r="J5" i="10"/>
  <c r="I6" i="10"/>
  <c r="H7" i="10"/>
  <c r="D5" i="4"/>
  <c r="C6" i="4"/>
  <c r="B7" i="4"/>
  <c r="J7" i="4"/>
  <c r="B5" i="5"/>
  <c r="J5" i="5"/>
  <c r="I6" i="5"/>
  <c r="H7" i="5"/>
  <c r="G5" i="6"/>
  <c r="E7" i="6"/>
  <c r="H5" i="7"/>
  <c r="G6" i="7"/>
  <c r="C5" i="8"/>
  <c r="B6" i="8"/>
  <c r="J6" i="8"/>
  <c r="I7" i="8"/>
  <c r="D5" i="9"/>
  <c r="C6" i="9"/>
  <c r="B7" i="9"/>
  <c r="J7" i="9"/>
  <c r="C5" i="10"/>
  <c r="B6" i="10"/>
  <c r="J6" i="10"/>
  <c r="I7" i="10"/>
  <c r="E5" i="4"/>
  <c r="D6" i="4"/>
  <c r="C7" i="4"/>
  <c r="C5" i="5"/>
  <c r="B6" i="5"/>
  <c r="J6" i="5"/>
  <c r="I7" i="5"/>
  <c r="H5" i="6"/>
  <c r="G6" i="6"/>
  <c r="B4" i="7"/>
  <c r="I5" i="7"/>
  <c r="H6" i="7"/>
  <c r="G7" i="7"/>
  <c r="D5" i="8"/>
  <c r="C6" i="8"/>
  <c r="B7" i="8"/>
  <c r="J7" i="8"/>
  <c r="E5" i="9"/>
  <c r="D6" i="9"/>
  <c r="C7" i="9"/>
  <c r="D5" i="10"/>
  <c r="C6" i="10"/>
  <c r="B7" i="10"/>
  <c r="J7" i="10"/>
  <c r="B8" i="3"/>
  <c r="E6" i="4"/>
  <c r="D7" i="4"/>
  <c r="D5" i="5"/>
  <c r="C6" i="5"/>
  <c r="B7" i="5"/>
  <c r="J7" i="5"/>
  <c r="B4" i="6"/>
  <c r="I5" i="6"/>
  <c r="H6" i="6"/>
  <c r="G7" i="6"/>
  <c r="B5" i="7"/>
  <c r="J5" i="7"/>
  <c r="I6" i="7"/>
  <c r="H7" i="7"/>
  <c r="E5" i="8"/>
  <c r="D6" i="8"/>
  <c r="C7" i="8"/>
  <c r="E6" i="9"/>
  <c r="D7" i="9"/>
  <c r="E5" i="10"/>
  <c r="D6" i="10"/>
  <c r="E18" i="3" l="1"/>
  <c r="E17" i="3"/>
  <c r="F10" i="3"/>
  <c r="F7" i="7"/>
  <c r="F6" i="6"/>
  <c r="F12" i="3"/>
  <c r="F7" i="10"/>
  <c r="F13" i="3"/>
  <c r="J4" i="7"/>
  <c r="D4" i="5"/>
  <c r="F9" i="3"/>
  <c r="F11" i="3"/>
  <c r="F7" i="5"/>
  <c r="F7" i="8"/>
  <c r="J4" i="4"/>
  <c r="F6" i="9"/>
  <c r="I4" i="4"/>
  <c r="F7" i="6"/>
  <c r="G4" i="6"/>
  <c r="G4" i="9"/>
  <c r="F6" i="5"/>
  <c r="E4" i="10"/>
  <c r="F5" i="10"/>
  <c r="I4" i="7"/>
  <c r="C4" i="9"/>
  <c r="G4" i="5"/>
  <c r="H4" i="9"/>
  <c r="F7" i="9"/>
  <c r="G4" i="4"/>
  <c r="H4" i="5"/>
  <c r="D4" i="9"/>
  <c r="F5" i="4"/>
  <c r="E4" i="4"/>
  <c r="J4" i="9"/>
  <c r="E4" i="7"/>
  <c r="F5" i="7"/>
  <c r="G4" i="8"/>
  <c r="C4" i="6"/>
  <c r="J4" i="6"/>
  <c r="C4" i="4"/>
  <c r="F5" i="9"/>
  <c r="E4" i="9"/>
  <c r="D4" i="4"/>
  <c r="F6" i="4"/>
  <c r="H4" i="6"/>
  <c r="J4" i="10"/>
  <c r="J4" i="8"/>
  <c r="I4" i="5"/>
  <c r="F6" i="8"/>
  <c r="H4" i="10"/>
  <c r="F5" i="6"/>
  <c r="E4" i="6"/>
  <c r="I4" i="6"/>
  <c r="J4" i="5"/>
  <c r="I4" i="9"/>
  <c r="E4" i="8"/>
  <c r="F5" i="8"/>
  <c r="D4" i="8"/>
  <c r="C4" i="10"/>
  <c r="C4" i="8"/>
  <c r="D4" i="10"/>
  <c r="G4" i="7"/>
  <c r="I4" i="10"/>
  <c r="I4" i="8"/>
  <c r="D4" i="6"/>
  <c r="G4" i="10"/>
  <c r="D4" i="7"/>
  <c r="H4" i="4"/>
  <c r="E4" i="5"/>
  <c r="F5" i="5"/>
  <c r="F8" i="3"/>
  <c r="C4" i="5"/>
  <c r="H4" i="7"/>
  <c r="H4" i="8"/>
  <c r="F6" i="10"/>
  <c r="C4" i="7"/>
  <c r="F7" i="4"/>
  <c r="F6" i="7"/>
  <c r="F4" i="5" l="1"/>
  <c r="F4" i="6"/>
  <c r="F4" i="9"/>
  <c r="F4" i="4"/>
  <c r="F4" i="7"/>
  <c r="F4" i="8"/>
  <c r="F4" i="10"/>
</calcChain>
</file>

<file path=xl/comments1.xml><?xml version="1.0" encoding="utf-8"?>
<comments xmlns="http://schemas.openxmlformats.org/spreadsheetml/2006/main">
  <authors>
    <author>Autor desconhecido</author>
  </authors>
  <commentList>
    <comment ref="P2" authorId="0" shapeId="0">
      <text>
        <r>
          <rPr>
            <sz val="10"/>
            <rFont val="Calibri"/>
            <family val="2"/>
          </rPr>
          <t>Aqueles que atingiram nota igual ou superior a 70,00</t>
        </r>
      </text>
    </comment>
    <comment ref="R2" authorId="0" shapeId="0">
      <text>
        <r>
          <rPr>
            <sz val="10"/>
            <rFont val="Calibri"/>
            <family val="2"/>
          </rPr>
          <t xml:space="preserve">FABIO DELEK:
</t>
        </r>
        <r>
          <rPr>
            <sz val="10"/>
            <color rgb="FF000000"/>
            <rFont val="Tahoma"/>
            <family val="2"/>
            <charset val="1"/>
          </rPr>
          <t>Em alguma atividade obtiveram nota inferior a 70,00</t>
        </r>
      </text>
    </comment>
    <comment ref="S2" authorId="0" shapeId="0">
      <text>
        <r>
          <rPr>
            <sz val="10"/>
            <rFont val="Calibri"/>
            <family val="2"/>
          </rPr>
          <t>F</t>
        </r>
        <r>
          <rPr>
            <b/>
            <sz val="10"/>
            <color rgb="FF000000"/>
            <rFont val="Tahoma"/>
            <family val="2"/>
            <charset val="1"/>
          </rPr>
          <t xml:space="preserve">ABIO DELEK:
</t>
        </r>
        <r>
          <rPr>
            <sz val="10"/>
            <color rgb="FF000000"/>
            <rFont val="Tahoma"/>
            <family val="2"/>
            <charset val="1"/>
          </rPr>
          <t>Aqueles que por vontade própria, mesmo já tendo alguma nota no mínimo 70,00, desiste de continuar o curso.</t>
        </r>
      </text>
    </comment>
    <comment ref="T2" authorId="0" shapeId="0">
      <text>
        <r>
          <rPr>
            <sz val="10"/>
            <rFont val="Calibri"/>
            <family val="2"/>
          </rPr>
          <t xml:space="preserve">FABIO DELEK:
</t>
        </r>
        <r>
          <rPr>
            <sz val="10"/>
            <color rgb="FF000000"/>
            <rFont val="Tahoma"/>
            <family val="2"/>
            <charset val="1"/>
          </rPr>
          <t>Acessou o curso porém sequer respondeu o 1º questionário</t>
        </r>
      </text>
    </comment>
    <comment ref="U2" authorId="0" shapeId="0">
      <text>
        <r>
          <rPr>
            <sz val="10"/>
            <rFont val="Calibri"/>
            <family val="2"/>
          </rPr>
          <t xml:space="preserve">FABIO DELEK:
</t>
        </r>
        <r>
          <rPr>
            <sz val="9"/>
            <color rgb="FF000000"/>
            <rFont val="Tahoma"/>
            <family val="2"/>
            <charset val="1"/>
          </rPr>
          <t>S</t>
        </r>
        <r>
          <rPr>
            <sz val="10"/>
            <color rgb="FF000000"/>
            <rFont val="Tahoma"/>
            <family val="2"/>
            <charset val="1"/>
          </rPr>
          <t>equer acessou a página do curso que estava inscrito</t>
        </r>
      </text>
    </comment>
  </commentList>
</comments>
</file>

<file path=xl/sharedStrings.xml><?xml version="1.0" encoding="utf-8"?>
<sst xmlns="http://schemas.openxmlformats.org/spreadsheetml/2006/main" count="1973" uniqueCount="454">
  <si>
    <t>Projeto Pedagógico</t>
  </si>
  <si>
    <t>Plano de Curso</t>
  </si>
  <si>
    <t>Termo de Matrícula</t>
  </si>
  <si>
    <t>Termo de Encerramento</t>
  </si>
  <si>
    <t>Relatório do Curso</t>
  </si>
  <si>
    <t>Nº</t>
  </si>
  <si>
    <t>Abrev</t>
  </si>
  <si>
    <t>Nome do Curso</t>
  </si>
  <si>
    <t>Nome curto</t>
  </si>
  <si>
    <t>Turma</t>
  </si>
  <si>
    <t>Ano</t>
  </si>
  <si>
    <t>Doc</t>
  </si>
  <si>
    <t>Publicação Boletim</t>
  </si>
  <si>
    <t>Doc2</t>
  </si>
  <si>
    <t>Publicação Boletim 2</t>
  </si>
  <si>
    <t>Publicação Boletim 3</t>
  </si>
  <si>
    <t>Publicação Boletim 4</t>
  </si>
  <si>
    <t>Fundamental</t>
  </si>
  <si>
    <t>Conhecimentos Fundamentais em Proteção e Defesa Civil</t>
  </si>
  <si>
    <t>Turma DPDC</t>
  </si>
  <si>
    <t>xxxx</t>
  </si>
  <si>
    <t>REER</t>
  </si>
  <si>
    <t>Conhecimentos Básicos para Integrantes da Rede Estadual de Emergência de Radioamadores</t>
  </si>
  <si>
    <t>Turma 2019</t>
  </si>
  <si>
    <t>OK</t>
  </si>
  <si>
    <t>15.704.006-5</t>
  </si>
  <si>
    <t>BI CM 017/2019</t>
  </si>
  <si>
    <t>15.743.119-6</t>
  </si>
  <si>
    <t>BI nº 004/2019</t>
  </si>
  <si>
    <t>SCI</t>
  </si>
  <si>
    <t>Sistema de Comando de Incidentes</t>
  </si>
  <si>
    <t>Turma I</t>
  </si>
  <si>
    <t>15.714.075-2</t>
  </si>
  <si>
    <t>BI CM 020/2019</t>
  </si>
  <si>
    <t>15.825.103-5</t>
  </si>
  <si>
    <t>Turma ADAPAR</t>
  </si>
  <si>
    <t>15.854.271-4</t>
  </si>
  <si>
    <t>15.913.771-6</t>
  </si>
  <si>
    <t>BI nº 009/2019</t>
  </si>
  <si>
    <t>Turma II ADAPAR</t>
  </si>
  <si>
    <t>16.039.692-0</t>
  </si>
  <si>
    <t>BI nº 016/2019</t>
  </si>
  <si>
    <t>EE</t>
  </si>
  <si>
    <t>Atendimento de Emergências em Edificações</t>
  </si>
  <si>
    <t>Turma CELEPAR</t>
  </si>
  <si>
    <t>16.238.780-4</t>
  </si>
  <si>
    <t>16.239.265-4</t>
  </si>
  <si>
    <t>Turma UEM</t>
  </si>
  <si>
    <t>16.251.238-2</t>
  </si>
  <si>
    <t>BI nº 028/2019</t>
  </si>
  <si>
    <t>16.256.593-1</t>
  </si>
  <si>
    <t>Turma APA 2020</t>
  </si>
  <si>
    <t>16.647.435-3</t>
  </si>
  <si>
    <t>PDC</t>
  </si>
  <si>
    <t>Conhecimentos em Proteção e Defesa Civil</t>
  </si>
  <si>
    <t>Turma 6ª CORPDEC</t>
  </si>
  <si>
    <t>16.914.487-7</t>
  </si>
  <si>
    <t>BI nº 037/2022</t>
  </si>
  <si>
    <t>RD</t>
  </si>
  <si>
    <t>RISCOS E DESASTRES: conhecimentos fundamentais</t>
  </si>
  <si>
    <t>17.039.202-7</t>
  </si>
  <si>
    <t>Turma RS 2020</t>
  </si>
  <si>
    <t>17.779.184-9</t>
  </si>
  <si>
    <t>Turma 2021</t>
  </si>
  <si>
    <t>17.885.177-2</t>
  </si>
  <si>
    <t>CFGM</t>
  </si>
  <si>
    <t>Conhecimentos Fundamentais para Gestores Municipais de Proteção e Defesa Civil</t>
  </si>
  <si>
    <t>Turma I 2021</t>
  </si>
  <si>
    <t>17.778.492-3</t>
  </si>
  <si>
    <t>Turma 5ª Divisão de Exército</t>
  </si>
  <si>
    <t>17.991.638-0</t>
  </si>
  <si>
    <t>BI nº 039/2022</t>
  </si>
  <si>
    <t>Turma II 2021</t>
  </si>
  <si>
    <t>18.018.936-0</t>
  </si>
  <si>
    <t>Turma COSMO  2021</t>
  </si>
  <si>
    <t>18.114.658-3</t>
  </si>
  <si>
    <t>PP</t>
  </si>
  <si>
    <t>Atendimento a Emergências com Produtos Perigosos</t>
  </si>
  <si>
    <t>Turma I 2022</t>
  </si>
  <si>
    <t>18.708.100-9</t>
  </si>
  <si>
    <t>Turma: IMUV</t>
  </si>
  <si>
    <t>19.056.495-9</t>
  </si>
  <si>
    <t>CPCIF</t>
  </si>
  <si>
    <t>Curso de Prevenção e Combate a Incêndios Florestais</t>
  </si>
  <si>
    <t>TURMA Vila Velha</t>
  </si>
  <si>
    <t>Turma I Orgãos de Apoio CEDEC</t>
  </si>
  <si>
    <t>19.299.288-5</t>
  </si>
  <si>
    <t>19.300.017-7</t>
  </si>
  <si>
    <t>Turma MT</t>
  </si>
  <si>
    <t>19.299.160-9</t>
  </si>
  <si>
    <t>19.392.819-6</t>
  </si>
  <si>
    <t>Turma II 2022</t>
  </si>
  <si>
    <t>19.481.995-1</t>
  </si>
  <si>
    <t>TURMA Floresta Metropolitana</t>
  </si>
  <si>
    <t>19.561.026-6</t>
  </si>
  <si>
    <t>BI nº 041/2022</t>
  </si>
  <si>
    <t>19.671.428-6</t>
  </si>
  <si>
    <t>BI nº 042/2022</t>
  </si>
  <si>
    <t>Turma AGRO-SET</t>
  </si>
  <si>
    <t>19.671.498-7</t>
  </si>
  <si>
    <t>Turma QCG</t>
  </si>
  <si>
    <t>21.919.712-8</t>
  </si>
  <si>
    <t>19.706.085-9</t>
  </si>
  <si>
    <t>BI nº 046/2022</t>
  </si>
  <si>
    <t>Turma AGRO-OUT</t>
  </si>
  <si>
    <t>19.790.403-8</t>
  </si>
  <si>
    <t>Turma I 2023</t>
  </si>
  <si>
    <t>21.920.041-2</t>
  </si>
  <si>
    <t>BI nº 014/2024</t>
  </si>
  <si>
    <t>21.920.205-9</t>
  </si>
  <si>
    <t>Turma SESP</t>
  </si>
  <si>
    <t>21.920.468-0</t>
  </si>
  <si>
    <t>CPC</t>
  </si>
  <si>
    <t>Capacitação Presencial COMPDECs</t>
  </si>
  <si>
    <t>21.920.806-5</t>
  </si>
  <si>
    <t>21.920.889-8</t>
  </si>
  <si>
    <t>Turma II 2023</t>
  </si>
  <si>
    <t>21.920.952-5</t>
  </si>
  <si>
    <t>FBEMS</t>
  </si>
  <si>
    <t>Formação de Brigadistas Escolares e Monitores de Segurança</t>
  </si>
  <si>
    <t>21.921.088-4</t>
  </si>
  <si>
    <t>21.921.170-8</t>
  </si>
  <si>
    <t>CBCV</t>
  </si>
  <si>
    <t>Capacitação em Brigadistas Civis Voluntários</t>
  </si>
  <si>
    <t>21.921.208-9</t>
  </si>
  <si>
    <t>21.947.490-3</t>
  </si>
  <si>
    <t>21.947.913-1</t>
  </si>
  <si>
    <t>21.948.003-2</t>
  </si>
  <si>
    <t>TURMA - Ponta Grossa 2023</t>
  </si>
  <si>
    <t>SB</t>
  </si>
  <si>
    <t>Segurança de Barragens - Anomalias e Boas Práticas</t>
  </si>
  <si>
    <t>21.948.068-7</t>
  </si>
  <si>
    <t>21.948.148-9</t>
  </si>
  <si>
    <t>Turma Legendários</t>
  </si>
  <si>
    <t>21.948.204-3</t>
  </si>
  <si>
    <t>SCI12024</t>
  </si>
  <si>
    <t>21.948.502-6</t>
  </si>
  <si>
    <t>SCI22024</t>
  </si>
  <si>
    <t>22.584.900-5</t>
  </si>
  <si>
    <t>BI nº 033/2024</t>
  </si>
  <si>
    <t>SCI42024</t>
  </si>
  <si>
    <t>22.585.074-7</t>
  </si>
  <si>
    <t>SCI52024</t>
  </si>
  <si>
    <t>22.585.141-7</t>
  </si>
  <si>
    <t>22.619.882-2</t>
  </si>
  <si>
    <t>BI nº 034/2023</t>
  </si>
  <si>
    <t>22.620.788-0</t>
  </si>
  <si>
    <t>22.621.752-5</t>
  </si>
  <si>
    <t>SCI32024</t>
  </si>
  <si>
    <t>22.673.434-1</t>
  </si>
  <si>
    <t>BI nº 037/2024</t>
  </si>
  <si>
    <t>SCI72024</t>
  </si>
  <si>
    <t>22.673.496-1</t>
  </si>
  <si>
    <t>SCI62024</t>
  </si>
  <si>
    <t>22.673.547-0</t>
  </si>
  <si>
    <t>22.673.949-1</t>
  </si>
  <si>
    <t xml:space="preserve">23.324.219-5 </t>
  </si>
  <si>
    <t>BI nº 002/2025</t>
  </si>
  <si>
    <t>CCFADC</t>
  </si>
  <si>
    <t>Capacitação e Conhecimentos Fundamentais para Atividades de Defesa Civil </t>
  </si>
  <si>
    <t>22.674.006-6</t>
  </si>
  <si>
    <t>BI nº 036/2024</t>
  </si>
  <si>
    <t>SCI92024</t>
  </si>
  <si>
    <t>22.707.607-0</t>
  </si>
  <si>
    <t>23.034.064-1</t>
  </si>
  <si>
    <t>BI nº 046/2024</t>
  </si>
  <si>
    <t>SCI82024</t>
  </si>
  <si>
    <t>22.707.652-6</t>
  </si>
  <si>
    <t>SCI102024</t>
  </si>
  <si>
    <t>22.924.966-5</t>
  </si>
  <si>
    <t>BI nº 043/2024</t>
  </si>
  <si>
    <t>SCI132024</t>
  </si>
  <si>
    <t>22.925.820-6</t>
  </si>
  <si>
    <t>SCI112024</t>
  </si>
  <si>
    <t>22.959.612-8</t>
  </si>
  <si>
    <t>BI nº 044/2024</t>
  </si>
  <si>
    <t>SCI142024</t>
  </si>
  <si>
    <t>22.981.016-2</t>
  </si>
  <si>
    <t>BI nº 045/2024</t>
  </si>
  <si>
    <t>CADC</t>
  </si>
  <si>
    <t>Capacitação de Agentes de Defesa Civil</t>
  </si>
  <si>
    <t>23.092.681-6</t>
  </si>
  <si>
    <t>BI nº 048/2024</t>
  </si>
  <si>
    <t>SCI152024</t>
  </si>
  <si>
    <t>22.981.083-9</t>
  </si>
  <si>
    <t>SCI162024</t>
  </si>
  <si>
    <t>23.199.443-2</t>
  </si>
  <si>
    <t>BI nº 050/2024</t>
  </si>
  <si>
    <t>CIARP</t>
  </si>
  <si>
    <t>Curso Introdutório de Aeronaves Remotamente Pilotadas</t>
  </si>
  <si>
    <t>22.957.173-7</t>
  </si>
  <si>
    <t>SCI122024</t>
  </si>
  <si>
    <t>23.095.033-4</t>
  </si>
  <si>
    <t>CBCM</t>
  </si>
  <si>
    <t>Capacitação de Brigadistas Civis Municipais</t>
  </si>
  <si>
    <t>SCI172024</t>
  </si>
  <si>
    <t>23.095.675-8</t>
  </si>
  <si>
    <t>SCI182024</t>
  </si>
  <si>
    <t>23.243.660-3</t>
  </si>
  <si>
    <t>BI nº 001/2025</t>
  </si>
  <si>
    <t>23.116.991-1</t>
  </si>
  <si>
    <t>23.117.469-9</t>
  </si>
  <si>
    <t>23.201.063-0</t>
  </si>
  <si>
    <t>BI nº 051/2024</t>
  </si>
  <si>
    <t>CCFADC22024</t>
  </si>
  <si>
    <t>23.215.287-7</t>
  </si>
  <si>
    <t>SCI192024</t>
  </si>
  <si>
    <t>Assistência Social</t>
  </si>
  <si>
    <t xml:space="preserve">23.250.647-4 </t>
  </si>
  <si>
    <t>SCI202024</t>
  </si>
  <si>
    <t>1º Seminário Estadual P2R2</t>
  </si>
  <si>
    <t>23.284.073-0</t>
  </si>
  <si>
    <t>CCFADC12025</t>
  </si>
  <si>
    <t>CBCV12025</t>
  </si>
  <si>
    <t>Indígenas FEM</t>
  </si>
  <si>
    <t>CBCV22025</t>
  </si>
  <si>
    <t>PAI</t>
  </si>
  <si>
    <t>Plano Anual de Instrução</t>
  </si>
  <si>
    <t>PAI12025</t>
  </si>
  <si>
    <t>7º BBM</t>
  </si>
  <si>
    <t>CADC12025</t>
  </si>
  <si>
    <t>CFGMPDC12025</t>
  </si>
  <si>
    <t>CFBE12025</t>
  </si>
  <si>
    <t>abrev</t>
  </si>
  <si>
    <t>Início</t>
  </si>
  <si>
    <t>Término</t>
  </si>
  <si>
    <t>Carga Horária</t>
  </si>
  <si>
    <t>Método de Inscrição</t>
  </si>
  <si>
    <t>Modalidade de Ensino</t>
  </si>
  <si>
    <t>Inscritos</t>
  </si>
  <si>
    <t>Matriculados</t>
  </si>
  <si>
    <t>Aprovados</t>
  </si>
  <si>
    <t>% Aprovação</t>
  </si>
  <si>
    <t>Reprovados</t>
  </si>
  <si>
    <t>Desistentes</t>
  </si>
  <si>
    <t>Não responderam o 1º questionário</t>
  </si>
  <si>
    <t>Nunca acessaram o curso</t>
  </si>
  <si>
    <t>lista</t>
  </si>
  <si>
    <t>A Distância (EaD)</t>
  </si>
  <si>
    <t>autoinscrição</t>
  </si>
  <si>
    <t>por lista</t>
  </si>
  <si>
    <t>Semipresencial</t>
  </si>
  <si>
    <t>autoiscrição com senha</t>
  </si>
  <si>
    <t>Presencial</t>
  </si>
  <si>
    <t>autoiscrição</t>
  </si>
  <si>
    <t>CBCM12024</t>
  </si>
  <si>
    <t>RESULTADOS DOS CURSOS DA ESCOLA DE DEFESA CIVIL</t>
  </si>
  <si>
    <t>Total de Turmas</t>
  </si>
  <si>
    <t>Alunos</t>
  </si>
  <si>
    <t>%</t>
  </si>
  <si>
    <t>TOTAL</t>
  </si>
  <si>
    <t>Modalidade de Ensino Presencial</t>
  </si>
  <si>
    <t xml:space="preserve">Modalidade de Ensino a Distância </t>
  </si>
  <si>
    <t>Modalidade de Ensino Semipresencial</t>
  </si>
  <si>
    <t>Ano de 2019</t>
  </si>
  <si>
    <t>Ano de 2020</t>
  </si>
  <si>
    <t>Ano de 2021</t>
  </si>
  <si>
    <t>Ano de 2022</t>
  </si>
  <si>
    <t>Ano de 2023</t>
  </si>
  <si>
    <t>Ano de 2024</t>
  </si>
  <si>
    <t>Ano de 2025</t>
  </si>
  <si>
    <t>CURSOS DA ESCOLA DE DEFESA CIVIL</t>
  </si>
  <si>
    <t>Total de Cursos</t>
  </si>
  <si>
    <t>Capacitação e Conhecimentos Fundamentais para Atividades de Defesa Civil</t>
  </si>
  <si>
    <t>Curso de Capacitação de Agentes de Defesa Civil</t>
  </si>
  <si>
    <t>Curso de Capacitação de Brigadistas Civis Municipais</t>
  </si>
  <si>
    <t>RESULTADOS DOS CURSOS DA ESCOLA DE DEFESA CIVIL NO ANO DE 2019</t>
  </si>
  <si>
    <t>RESULTADOS DOS CURSOS DA ESCOLA DE DEFESA CIVIL NO ANO DE 2020</t>
  </si>
  <si>
    <t>RESULTADOS DOS CURSOS DA ESCOLA DE DEFESA CIVIL NO ANO DE 2021</t>
  </si>
  <si>
    <t>RESULTADOS DOS CURSOS DA ESCOLA DE DEFESA CIVIL NO ANO DE 2022</t>
  </si>
  <si>
    <t>RESULTADOS DOS CURSOS DA ESCOLA DE DEFESA CIVIL NO ANO DE 2023</t>
  </si>
  <si>
    <t>RESULTADOS DOS CURSOS DA ESCOLA DE DEFESA CIVIL NO ANO DE 2024</t>
  </si>
  <si>
    <t>Turmas</t>
  </si>
  <si>
    <t>RESULTADOS DOS CURSOS DA ESCOLA DE DEFESA CIVIL NO ANO DE 2025</t>
  </si>
  <si>
    <t>Prevenção e Combate a Incêndios Florestais</t>
  </si>
  <si>
    <t>Segurança de Barragens</t>
  </si>
  <si>
    <t>CADC22025</t>
  </si>
  <si>
    <t>EE12025</t>
  </si>
  <si>
    <t>23.811.125-0</t>
  </si>
  <si>
    <t>SCI12025</t>
  </si>
  <si>
    <t>BI nº 016/2025</t>
  </si>
  <si>
    <t>CADC32025</t>
  </si>
  <si>
    <t>Instituição certificadora</t>
  </si>
  <si>
    <t>CMEIV 2025</t>
  </si>
  <si>
    <t>I 2025</t>
  </si>
  <si>
    <t>II 2025</t>
  </si>
  <si>
    <t>UNESPAR</t>
  </si>
  <si>
    <t>CRMV</t>
  </si>
  <si>
    <t>III 2025</t>
  </si>
  <si>
    <t>II Legendários</t>
  </si>
  <si>
    <t>UFPR</t>
  </si>
  <si>
    <t>IBAMA</t>
  </si>
  <si>
    <t>III Legendários</t>
  </si>
  <si>
    <t>I Supervisores</t>
  </si>
  <si>
    <t>I 2024</t>
  </si>
  <si>
    <t>COSMO</t>
  </si>
  <si>
    <t>IAT</t>
  </si>
  <si>
    <t>II Adjuntos</t>
  </si>
  <si>
    <t>CMEIV 2024</t>
  </si>
  <si>
    <t>COSMO II</t>
  </si>
  <si>
    <t>SESP</t>
  </si>
  <si>
    <t>7º GB</t>
  </si>
  <si>
    <t>RMC - 2024</t>
  </si>
  <si>
    <t>Legendários - Pato Branco</t>
  </si>
  <si>
    <t>Clube Paranaese de Montanhismo</t>
  </si>
  <si>
    <t>ADAPAR - 2024</t>
  </si>
  <si>
    <t>II 7º GB</t>
  </si>
  <si>
    <t>5ª CORPDEC</t>
  </si>
  <si>
    <t>LEC/UFPR</t>
  </si>
  <si>
    <t>I - IAT</t>
  </si>
  <si>
    <t>Legendários - Norte do Paraná</t>
  </si>
  <si>
    <t>Marinha do Brasil</t>
  </si>
  <si>
    <t>Brigadistas Civis Municipais</t>
  </si>
  <si>
    <t>II - SEDEST</t>
  </si>
  <si>
    <t>III - SECOM</t>
  </si>
  <si>
    <t>II 2024</t>
  </si>
  <si>
    <t>2 CMEIV 2024</t>
  </si>
  <si>
    <t>CEPED</t>
  </si>
  <si>
    <t>EE12024</t>
  </si>
  <si>
    <t>REER12024</t>
  </si>
  <si>
    <t>CFGMPDC12024</t>
  </si>
  <si>
    <t>Nº curso</t>
  </si>
  <si>
    <t>REER22024</t>
  </si>
  <si>
    <t>CFBE12024</t>
  </si>
  <si>
    <t>SEED</t>
  </si>
  <si>
    <t>EE22024</t>
  </si>
  <si>
    <t>CEDEC/BM</t>
  </si>
  <si>
    <t>CBCV12024</t>
  </si>
  <si>
    <t>CIARP12024</t>
  </si>
  <si>
    <t>CEDEC</t>
  </si>
  <si>
    <t>CEDEC/BM/SEDEST</t>
  </si>
  <si>
    <t>CIARP22024</t>
  </si>
  <si>
    <t>CIARP32024</t>
  </si>
  <si>
    <t>CADC22024</t>
  </si>
  <si>
    <t>24.249.505-5</t>
  </si>
  <si>
    <t>24.249.911-5</t>
  </si>
  <si>
    <t>24.250.028-8</t>
  </si>
  <si>
    <t>24.252.430-6</t>
  </si>
  <si>
    <t>24.252.512-4</t>
  </si>
  <si>
    <t>BKP</t>
  </si>
  <si>
    <t>fundamentaldpdc</t>
  </si>
  <si>
    <t>CBCV32025</t>
  </si>
  <si>
    <t>CCFADC22025</t>
  </si>
  <si>
    <t>QPPE Defesa Civil</t>
  </si>
  <si>
    <t>Supervisores</t>
  </si>
  <si>
    <t>Adjuntos</t>
  </si>
  <si>
    <t>REER12025</t>
  </si>
  <si>
    <t>REER22025</t>
  </si>
  <si>
    <t>CIARP12025</t>
  </si>
  <si>
    <t>CIARP22025</t>
  </si>
  <si>
    <t>PMCGS</t>
  </si>
  <si>
    <t>CADC42025</t>
  </si>
  <si>
    <t>IV 2025</t>
  </si>
  <si>
    <t>Legendários Curitiba</t>
  </si>
  <si>
    <t>CBCM12025</t>
  </si>
  <si>
    <t>SCI22025</t>
  </si>
  <si>
    <t>SEAGRI</t>
  </si>
  <si>
    <t>PP12025</t>
  </si>
  <si>
    <t>P2R2</t>
  </si>
  <si>
    <t>BI nº 026/2025</t>
  </si>
  <si>
    <t>6CORPDEC</t>
  </si>
  <si>
    <t>emergenciascelepar</t>
  </si>
  <si>
    <t>emergenciasuem2019</t>
  </si>
  <si>
    <t>EEQCG</t>
  </si>
  <si>
    <t>EESESP123</t>
  </si>
  <si>
    <t>reer2019</t>
  </si>
  <si>
    <t>REER2021turma1</t>
  </si>
  <si>
    <t>REER2021turma2</t>
  </si>
  <si>
    <t>REER2022turma1</t>
  </si>
  <si>
    <t>REER2023turma1</t>
  </si>
  <si>
    <t>CBCV12023</t>
  </si>
  <si>
    <t>CBCVPG2023</t>
  </si>
  <si>
    <t>RD12022</t>
  </si>
  <si>
    <t>RD22022</t>
  </si>
  <si>
    <t>RD12023</t>
  </si>
  <si>
    <t>RD22023</t>
  </si>
  <si>
    <t>sci2019</t>
  </si>
  <si>
    <t>SCI ADAPAR 2019</t>
  </si>
  <si>
    <t>SCI2ADAPAR2019</t>
  </si>
  <si>
    <t>sciapa</t>
  </si>
  <si>
    <t>scirs</t>
  </si>
  <si>
    <t>SCIcosmo</t>
  </si>
  <si>
    <t>SCI5DE</t>
  </si>
  <si>
    <t>sciimuv</t>
  </si>
  <si>
    <t>sci1apoiocedec</t>
  </si>
  <si>
    <t>falta certificado</t>
  </si>
  <si>
    <t>scimt</t>
  </si>
  <si>
    <t>sciturma1</t>
  </si>
  <si>
    <t>agro-set-2022</t>
  </si>
  <si>
    <t>agro-out-2022</t>
  </si>
  <si>
    <t>sciturma12023</t>
  </si>
  <si>
    <t>sciturma22023</t>
  </si>
  <si>
    <t>CBCV42025</t>
  </si>
  <si>
    <t>Quilombolas</t>
  </si>
  <si>
    <t>EE22025</t>
  </si>
  <si>
    <t>UEM</t>
  </si>
  <si>
    <t>CFGMPDC2021</t>
  </si>
  <si>
    <t>CFGMPDCII2021</t>
  </si>
  <si>
    <t>CFGMPDCI2022</t>
  </si>
  <si>
    <t>CFGMPDCII2022</t>
  </si>
  <si>
    <t>CFGMPDCI2023</t>
  </si>
  <si>
    <t>CFGMPDCII2023</t>
  </si>
  <si>
    <t>PP2023I</t>
  </si>
  <si>
    <t>CPCIFFM</t>
  </si>
  <si>
    <t>CEDEC/BM/IAT</t>
  </si>
  <si>
    <t>CPCIFVV</t>
  </si>
  <si>
    <t>CFBE12023</t>
  </si>
  <si>
    <t>falta backup</t>
  </si>
  <si>
    <t>SBABP12023</t>
  </si>
  <si>
    <t>CEDEC/IAT</t>
  </si>
  <si>
    <t>CPC62023</t>
  </si>
  <si>
    <t>CPC32023</t>
  </si>
  <si>
    <t>CPC22023</t>
  </si>
  <si>
    <t>CPC12023</t>
  </si>
  <si>
    <t>CPC42023</t>
  </si>
  <si>
    <t>CPC52023</t>
  </si>
  <si>
    <t>Telêmaco Borba e Ponta Grossa</t>
  </si>
  <si>
    <t>Umuarama</t>
  </si>
  <si>
    <t>Francisco Beltrão</t>
  </si>
  <si>
    <t>União da Vitória</t>
  </si>
  <si>
    <t>Irati</t>
  </si>
  <si>
    <t>Paranavaí</t>
  </si>
  <si>
    <t>CCFADC12024</t>
  </si>
  <si>
    <t>CADC12024</t>
  </si>
  <si>
    <t>BI nº 027/2025</t>
  </si>
  <si>
    <t>24.522.808-2</t>
  </si>
  <si>
    <t>24.529.912-5</t>
  </si>
  <si>
    <t>24.541.191-0</t>
  </si>
  <si>
    <t>24.543.799-4</t>
  </si>
  <si>
    <t>24.549.012-7</t>
  </si>
  <si>
    <t>24.550.186-2</t>
  </si>
  <si>
    <t>24.551.048-9</t>
  </si>
  <si>
    <t>24.552.166-9</t>
  </si>
  <si>
    <t>CADC52025</t>
  </si>
  <si>
    <t>V 2025</t>
  </si>
  <si>
    <t>24.565.299-2</t>
  </si>
  <si>
    <t>24.572.943-0</t>
  </si>
  <si>
    <t>24.580.237-4</t>
  </si>
  <si>
    <t>SCI32025</t>
  </si>
  <si>
    <t>5ª Regional de Saúde</t>
  </si>
  <si>
    <t>CBCV52025</t>
  </si>
  <si>
    <t>Parque Est. Serra da Baitaca</t>
  </si>
  <si>
    <t>CBCV62025</t>
  </si>
  <si>
    <t>2 Quilombolas</t>
  </si>
  <si>
    <t>Formação de Brigadistas Escolares Municipais</t>
  </si>
  <si>
    <t>FBEMun12025</t>
  </si>
  <si>
    <t>FBEMun</t>
  </si>
  <si>
    <t>BI nº 034/2025</t>
  </si>
  <si>
    <t>BI nº 035/2025</t>
  </si>
  <si>
    <t>eProtocolo</t>
  </si>
  <si>
    <t>eProtocolo2</t>
  </si>
  <si>
    <t>eProtocolo3</t>
  </si>
  <si>
    <t>CBCV72025</t>
  </si>
  <si>
    <t>Doutor Ulysses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</si>
</sst>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"/>
    <numFmt numFmtId="165" formatCode="##&quot; h/a&quot;"/>
  </numFmts>
  <fonts count="21" x14ac:knownFonts="1">
    <font>
      <sz val="11"/>
      <color theme="1"/>
      <name val="Calibri"/>
      <family val="2"/>
      <charset val="1"/>
    </font>
    <font>
      <sz val="11"/>
      <name val="Arial"/>
      <family val="2"/>
      <charset val="1"/>
    </font>
    <font>
      <b/>
      <sz val="11"/>
      <color theme="0"/>
      <name val="Arial"/>
      <family val="2"/>
      <charset val="1"/>
    </font>
    <font>
      <sz val="11"/>
      <color theme="0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0"/>
      <name val="Calibri"/>
      <family val="2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8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rgb="FF0066CC"/>
      </patternFill>
    </fill>
    <fill>
      <patternFill patternType="solid">
        <fgColor theme="0"/>
        <bgColor rgb="FFFFFFCC"/>
      </patternFill>
    </fill>
    <fill>
      <patternFill patternType="solid">
        <fgColor theme="4"/>
        <bgColor rgb="FF969696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/>
    </xf>
    <xf numFmtId="165" fontId="5" fillId="0" borderId="0" xfId="0" applyNumberFormat="1" applyFont="1" applyBorder="1" applyAlignment="1" applyProtection="1">
      <alignment horizontal="center" vertical="center"/>
    </xf>
    <xf numFmtId="3" fontId="5" fillId="0" borderId="0" xfId="0" applyNumberFormat="1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horizontal="center" vertical="center"/>
    </xf>
    <xf numFmtId="165" fontId="2" fillId="4" borderId="0" xfId="0" applyNumberFormat="1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right" vertical="center"/>
    </xf>
    <xf numFmtId="3" fontId="2" fillId="4" borderId="0" xfId="0" applyNumberFormat="1" applyFont="1" applyFill="1" applyAlignment="1" applyProtection="1">
      <alignment horizontal="center" vertical="center"/>
    </xf>
    <xf numFmtId="2" fontId="2" fillId="4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3" fontId="2" fillId="4" borderId="0" xfId="0" applyNumberFormat="1" applyFont="1" applyFill="1" applyBorder="1" applyAlignment="1" applyProtection="1">
      <alignment horizontal="center" vertical="center" wrapText="1"/>
    </xf>
    <xf numFmtId="2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/>
    </xf>
    <xf numFmtId="2" fontId="6" fillId="0" borderId="6" xfId="0" applyNumberFormat="1" applyFont="1" applyBorder="1" applyAlignment="1" applyProtection="1">
      <alignment horizontal="center" vertical="center"/>
    </xf>
    <xf numFmtId="3" fontId="6" fillId="0" borderId="7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center" vertical="center"/>
    </xf>
    <xf numFmtId="3" fontId="5" fillId="0" borderId="9" xfId="0" applyNumberFormat="1" applyFont="1" applyBorder="1" applyAlignment="1" applyProtection="1">
      <alignment horizontal="center" vertical="center"/>
    </xf>
    <xf numFmtId="2" fontId="5" fillId="0" borderId="10" xfId="0" applyNumberFormat="1" applyFont="1" applyBorder="1" applyAlignment="1" applyProtection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</xf>
    <xf numFmtId="3" fontId="5" fillId="0" borderId="13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3" fontId="5" fillId="0" borderId="15" xfId="0" applyNumberFormat="1" applyFont="1" applyBorder="1" applyAlignment="1" applyProtection="1">
      <alignment horizontal="center" vertical="center"/>
    </xf>
    <xf numFmtId="2" fontId="5" fillId="0" borderId="16" xfId="0" applyNumberFormat="1" applyFont="1" applyBorder="1" applyAlignment="1" applyProtection="1">
      <alignment horizontal="center" vertical="center"/>
    </xf>
    <xf numFmtId="3" fontId="5" fillId="0" borderId="17" xfId="0" applyNumberFormat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right" vertical="center" wrapText="1"/>
    </xf>
    <xf numFmtId="0" fontId="5" fillId="0" borderId="19" xfId="0" applyFont="1" applyBorder="1" applyAlignment="1" applyProtection="1">
      <alignment horizontal="center" vertical="center"/>
    </xf>
    <xf numFmtId="3" fontId="5" fillId="0" borderId="19" xfId="0" applyNumberFormat="1" applyFont="1" applyBorder="1" applyAlignment="1" applyProtection="1">
      <alignment horizontal="center" vertical="center"/>
    </xf>
    <xf numFmtId="2" fontId="5" fillId="0" borderId="20" xfId="0" applyNumberFormat="1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right" vertical="center" wrapText="1"/>
    </xf>
    <xf numFmtId="3" fontId="5" fillId="0" borderId="16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2" fontId="13" fillId="0" borderId="0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right" vertical="center" wrapText="1"/>
    </xf>
    <xf numFmtId="0" fontId="5" fillId="0" borderId="17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2" fontId="5" fillId="0" borderId="19" xfId="0" applyNumberFormat="1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center" vertical="center"/>
    </xf>
    <xf numFmtId="2" fontId="5" fillId="0" borderId="15" xfId="0" applyNumberFormat="1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center" vertical="center"/>
    </xf>
    <xf numFmtId="2" fontId="5" fillId="0" borderId="26" xfId="0" applyNumberFormat="1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2" fontId="5" fillId="0" borderId="0" xfId="0" applyNumberFormat="1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right" vertical="center"/>
    </xf>
    <xf numFmtId="0" fontId="13" fillId="0" borderId="16" xfId="0" applyFont="1" applyBorder="1" applyAlignment="1" applyProtection="1">
      <alignment horizontal="center" vertical="center" wrapText="1"/>
    </xf>
    <xf numFmtId="2" fontId="13" fillId="0" borderId="16" xfId="0" applyNumberFormat="1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12" fillId="0" borderId="19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7" fillId="0" borderId="3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vertical="center" wrapText="1"/>
    </xf>
    <xf numFmtId="0" fontId="17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righ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96"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sz val="11"/>
        <color rgb="FF000000"/>
        <name val="Calibri"/>
      </font>
    </dxf>
    <dxf>
      <numFmt numFmtId="166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alignment vertical="center" textRotation="0" wrapText="1" indent="0" justifyLastLine="0" shrinkToFit="0" readingOrder="0"/>
    </dxf>
    <dxf>
      <numFmt numFmtId="166" formatCode=";;;"/>
    </dxf>
    <dxf>
      <numFmt numFmtId="166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6" formatCode=";;;"/>
    </dxf>
    <dxf>
      <numFmt numFmtId="166" formatCode=";;;"/>
    </dxf>
    <dxf>
      <numFmt numFmtId="166" formatCode=";;;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theme="9" tint="0.79979857783745845"/>
        </patternFill>
      </fill>
      <border diagonalUp="0" diagonalDown="0">
        <left/>
        <right/>
        <top/>
        <bottom/>
      </border>
    </dxf>
    <dxf>
      <font>
        <color rgb="FFFFFFFF"/>
      </font>
      <fill>
        <patternFill>
          <bgColor theme="9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154800</xdr:colOff>
      <xdr:row>2</xdr:row>
      <xdr:rowOff>0</xdr:rowOff>
    </xdr:from>
    <xdr:to>
      <xdr:col>17</xdr:col>
      <xdr:colOff>334440</xdr:colOff>
      <xdr:row>2</xdr:row>
      <xdr:rowOff>259560</xdr:rowOff>
    </xdr:to>
    <xdr:sp macro="" textlink="">
      <xdr:nvSpPr>
        <xdr:cNvPr id="2" name="CaixaDeTexto 1"/>
        <xdr:cNvSpPr/>
      </xdr:nvSpPr>
      <xdr:spPr>
        <a:xfrm>
          <a:off x="22516920" y="762120"/>
          <a:ext cx="179640" cy="259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45117</xdr:colOff>
      <xdr:row>0</xdr:row>
      <xdr:rowOff>119294</xdr:rowOff>
    </xdr:from>
    <xdr:to>
      <xdr:col>2</xdr:col>
      <xdr:colOff>483597</xdr:colOff>
      <xdr:row>0</xdr:row>
      <xdr:rowOff>488654</xdr:rowOff>
    </xdr:to>
    <xdr:pic>
      <xdr:nvPicPr>
        <xdr:cNvPr id="17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38" y="119294"/>
          <a:ext cx="979901" cy="36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3716111</xdr:colOff>
      <xdr:row>0</xdr:row>
      <xdr:rowOff>132362</xdr:rowOff>
    </xdr:from>
    <xdr:to>
      <xdr:col>2</xdr:col>
      <xdr:colOff>4451197</xdr:colOff>
      <xdr:row>0</xdr:row>
      <xdr:rowOff>449162</xdr:rowOff>
    </xdr:to>
    <xdr:pic>
      <xdr:nvPicPr>
        <xdr:cNvPr id="18" name="Imagem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4608453" y="132362"/>
          <a:ext cx="735086" cy="31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354600</xdr:colOff>
      <xdr:row>0</xdr:row>
      <xdr:rowOff>98640</xdr:rowOff>
    </xdr:from>
    <xdr:to>
      <xdr:col>9</xdr:col>
      <xdr:colOff>413280</xdr:colOff>
      <xdr:row>0</xdr:row>
      <xdr:rowOff>544680</xdr:rowOff>
    </xdr:to>
    <xdr:pic>
      <xdr:nvPicPr>
        <xdr:cNvPr id="2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8246880" y="98640"/>
          <a:ext cx="1095840" cy="44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609840</xdr:rowOff>
    </xdr:to>
    <xdr:pic>
      <xdr:nvPicPr>
        <xdr:cNvPr id="3" name="Imagem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91800" y="7236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406440</xdr:colOff>
      <xdr:row>0</xdr:row>
      <xdr:rowOff>101520</xdr:rowOff>
    </xdr:from>
    <xdr:to>
      <xdr:col>9</xdr:col>
      <xdr:colOff>458640</xdr:colOff>
      <xdr:row>0</xdr:row>
      <xdr:rowOff>551880</xdr:rowOff>
    </xdr:to>
    <xdr:pic>
      <xdr:nvPicPr>
        <xdr:cNvPr id="3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046720" y="101520"/>
          <a:ext cx="1089360" cy="45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609840</xdr:rowOff>
    </xdr:to>
    <xdr:pic>
      <xdr:nvPicPr>
        <xdr:cNvPr id="4" name="Imagem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91800" y="7236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406440</xdr:colOff>
      <xdr:row>0</xdr:row>
      <xdr:rowOff>108000</xdr:rowOff>
    </xdr:from>
    <xdr:to>
      <xdr:col>9</xdr:col>
      <xdr:colOff>459720</xdr:colOff>
      <xdr:row>0</xdr:row>
      <xdr:rowOff>554040</xdr:rowOff>
    </xdr:to>
    <xdr:pic>
      <xdr:nvPicPr>
        <xdr:cNvPr id="5" name="Imagem 2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046720" y="108000"/>
          <a:ext cx="1090440" cy="44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609840</xdr:rowOff>
    </xdr:to>
    <xdr:pic>
      <xdr:nvPicPr>
        <xdr:cNvPr id="6" name="Imagem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1800" y="7236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400680</xdr:colOff>
      <xdr:row>0</xdr:row>
      <xdr:rowOff>105120</xdr:rowOff>
    </xdr:from>
    <xdr:to>
      <xdr:col>9</xdr:col>
      <xdr:colOff>453960</xdr:colOff>
      <xdr:row>0</xdr:row>
      <xdr:rowOff>551160</xdr:rowOff>
    </xdr:to>
    <xdr:pic>
      <xdr:nvPicPr>
        <xdr:cNvPr id="7" name="Imagem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8040960" y="105120"/>
          <a:ext cx="1090440" cy="44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91800</xdr:colOff>
      <xdr:row>0</xdr:row>
      <xdr:rowOff>72360</xdr:rowOff>
    </xdr:from>
    <xdr:to>
      <xdr:col>0</xdr:col>
      <xdr:colOff>1517040</xdr:colOff>
      <xdr:row>0</xdr:row>
      <xdr:rowOff>612720</xdr:rowOff>
    </xdr:to>
    <xdr:pic>
      <xdr:nvPicPr>
        <xdr:cNvPr id="8" name="Imagem 7"/>
        <xdr:cNvPicPr/>
      </xdr:nvPicPr>
      <xdr:blipFill>
        <a:blip xmlns:r="http://schemas.openxmlformats.org/officeDocument/2006/relationships" r:embed="rId2"/>
        <a:stretch/>
      </xdr:blipFill>
      <xdr:spPr>
        <a:xfrm>
          <a:off x="91800" y="72360"/>
          <a:ext cx="1425240" cy="540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609840</xdr:rowOff>
    </xdr:to>
    <xdr:pic>
      <xdr:nvPicPr>
        <xdr:cNvPr id="9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1800" y="7236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400680</xdr:colOff>
      <xdr:row>0</xdr:row>
      <xdr:rowOff>105120</xdr:rowOff>
    </xdr:from>
    <xdr:to>
      <xdr:col>9</xdr:col>
      <xdr:colOff>453240</xdr:colOff>
      <xdr:row>0</xdr:row>
      <xdr:rowOff>551160</xdr:rowOff>
    </xdr:to>
    <xdr:pic>
      <xdr:nvPicPr>
        <xdr:cNvPr id="10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8040960" y="105120"/>
          <a:ext cx="1089720" cy="44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610920</xdr:rowOff>
    </xdr:to>
    <xdr:pic>
      <xdr:nvPicPr>
        <xdr:cNvPr id="11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1800" y="72360"/>
          <a:ext cx="1427760" cy="53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400680</xdr:colOff>
      <xdr:row>0</xdr:row>
      <xdr:rowOff>105120</xdr:rowOff>
    </xdr:from>
    <xdr:to>
      <xdr:col>9</xdr:col>
      <xdr:colOff>453600</xdr:colOff>
      <xdr:row>0</xdr:row>
      <xdr:rowOff>550080</xdr:rowOff>
    </xdr:to>
    <xdr:pic>
      <xdr:nvPicPr>
        <xdr:cNvPr id="12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8061480" y="105120"/>
          <a:ext cx="1089720" cy="44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91800</xdr:colOff>
      <xdr:row>0</xdr:row>
      <xdr:rowOff>72360</xdr:rowOff>
    </xdr:from>
    <xdr:to>
      <xdr:col>0</xdr:col>
      <xdr:colOff>1519560</xdr:colOff>
      <xdr:row>0</xdr:row>
      <xdr:rowOff>609840</xdr:rowOff>
    </xdr:to>
    <xdr:pic>
      <xdr:nvPicPr>
        <xdr:cNvPr id="13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1800" y="7236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393480</xdr:colOff>
      <xdr:row>0</xdr:row>
      <xdr:rowOff>105120</xdr:rowOff>
    </xdr:from>
    <xdr:to>
      <xdr:col>9</xdr:col>
      <xdr:colOff>452160</xdr:colOff>
      <xdr:row>0</xdr:row>
      <xdr:rowOff>551160</xdr:rowOff>
    </xdr:to>
    <xdr:pic>
      <xdr:nvPicPr>
        <xdr:cNvPr id="14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8115840" y="105120"/>
          <a:ext cx="1095480" cy="44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73440</xdr:rowOff>
    </xdr:from>
    <xdr:to>
      <xdr:col>0</xdr:col>
      <xdr:colOff>1523160</xdr:colOff>
      <xdr:row>0</xdr:row>
      <xdr:rowOff>610920</xdr:rowOff>
    </xdr:to>
    <xdr:pic>
      <xdr:nvPicPr>
        <xdr:cNvPr id="15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73440"/>
          <a:ext cx="1427760" cy="5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395640</xdr:colOff>
      <xdr:row>0</xdr:row>
      <xdr:rowOff>102600</xdr:rowOff>
    </xdr:from>
    <xdr:to>
      <xdr:col>9</xdr:col>
      <xdr:colOff>454320</xdr:colOff>
      <xdr:row>0</xdr:row>
      <xdr:rowOff>548640</xdr:rowOff>
    </xdr:to>
    <xdr:pic>
      <xdr:nvPicPr>
        <xdr:cNvPr id="16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8078040" y="102600"/>
          <a:ext cx="1095480" cy="4460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2" displayName="Tabela2" ref="A2:Q122" totalsRowShown="0">
  <autoFilter ref="A2:Q122"/>
  <sortState ref="A3:R117">
    <sortCondition ref="A2:A117"/>
  </sortState>
  <tableColumns count="17">
    <tableColumn id="1" name="Nº"/>
    <tableColumn id="17" name="BKP" dataDxfId="93"/>
    <tableColumn id="2" name="Abrev"/>
    <tableColumn id="3" name="Nome do Curso"/>
    <tableColumn id="4" name="Nome curto"/>
    <tableColumn id="18" name="Nº curso" dataDxfId="92"/>
    <tableColumn id="5" name="Turma"/>
    <tableColumn id="6" name="Ano"/>
    <tableColumn id="7" name="Doc"/>
    <tableColumn id="8" name="Publicação Boletim"/>
    <tableColumn id="9" name="Doc2"/>
    <tableColumn id="10" name="Publicação Boletim 2"/>
    <tableColumn id="11" name="eProtocolo"/>
    <tableColumn id="12" name="Publicação Boletim 3"/>
    <tableColumn id="13" name="eProtocolo2"/>
    <tableColumn id="14" name="Publicação Boletim 4"/>
    <tableColumn id="15" name="eProtocolo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3" displayName="Tabela3" ref="A2:U121" totalsRowShown="0">
  <autoFilter ref="A2:U121"/>
  <sortState ref="A3:U117">
    <sortCondition ref="A2:A117"/>
  </sortState>
  <tableColumns count="21">
    <tableColumn id="1" name="Nº"/>
    <tableColumn id="2" name="abrev">
      <calculatedColumnFormula>Tabela2[[#This Row],[Abrev]]</calculatedColumnFormula>
    </tableColumn>
    <tableColumn id="3" name="Nome do Curso" dataDxfId="35">
      <calculatedColumnFormula>'Controle adm. dos cursos'!D3</calculatedColumnFormula>
    </tableColumn>
    <tableColumn id="4" name="Nome curto">
      <calculatedColumnFormula>Tabela2[[#This Row],[Nome curto]]</calculatedColumnFormula>
    </tableColumn>
    <tableColumn id="21" name="Nº curso" dataDxfId="34">
      <calculatedColumnFormula>Tabela2[[#This Row],[Nº curso]]</calculatedColumnFormula>
    </tableColumn>
    <tableColumn id="5" name="Turma" dataDxfId="33">
      <calculatedColumnFormula>'Controle adm. dos cursos'!G3</calculatedColumnFormula>
    </tableColumn>
    <tableColumn id="6" name="Ano">
      <calculatedColumnFormula>'Controle adm. dos cursos'!H3</calculatedColumnFormula>
    </tableColumn>
    <tableColumn id="7" name="Início"/>
    <tableColumn id="8" name="Término"/>
    <tableColumn id="9" name="Carga Horária"/>
    <tableColumn id="10" name="Método de Inscrição"/>
    <tableColumn id="11" name="Modalidade de Ensino"/>
    <tableColumn id="20" name="Instituição certificadora" dataDxfId="32"/>
    <tableColumn id="12" name="Inscritos"/>
    <tableColumn id="13" name="Matriculados"/>
    <tableColumn id="14" name="Aprovados"/>
    <tableColumn id="15" name="% Aprovação"/>
    <tableColumn id="16" name="Reprovados"/>
    <tableColumn id="17" name="Desistentes"/>
    <tableColumn id="18" name="Não responderam o 1º questionário"/>
    <tableColumn id="19" name="Nunca acessaram o curs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showGridLines="0" zoomScaleNormal="100" workbookViewId="0">
      <pane xSplit="8" ySplit="2" topLeftCell="M3" activePane="bottomRight" state="frozen"/>
      <selection pane="topRight" activeCell="I1" sqref="I1"/>
      <selection pane="bottomLeft" activeCell="A3" sqref="A3"/>
      <selection pane="bottomRight" activeCell="D101" sqref="D101"/>
    </sheetView>
  </sheetViews>
  <sheetFormatPr defaultColWidth="72" defaultRowHeight="14.25" x14ac:dyDescent="0.25"/>
  <cols>
    <col min="1" max="1" width="11.5703125" style="1" customWidth="1"/>
    <col min="2" max="2" width="6.7109375" style="141" customWidth="1"/>
    <col min="3" max="3" width="13.28515625" style="1" customWidth="1"/>
    <col min="4" max="4" width="59.140625" style="2" customWidth="1"/>
    <col min="5" max="5" width="17.28515625" style="1" customWidth="1"/>
    <col min="6" max="6" width="14.140625" style="1" bestFit="1" customWidth="1"/>
    <col min="7" max="7" width="18.28515625" style="1" customWidth="1"/>
    <col min="8" max="8" width="11.5703125" style="1" customWidth="1"/>
    <col min="9" max="12" width="20.7109375" style="1" hidden="1" customWidth="1"/>
    <col min="13" max="16" width="20.7109375" style="1" customWidth="1"/>
    <col min="17" max="17" width="20.5703125" style="1" customWidth="1"/>
    <col min="18" max="16384" width="72" style="1"/>
  </cols>
  <sheetData>
    <row r="1" spans="1:18" s="8" customFormat="1" ht="51.75" customHeight="1" x14ac:dyDescent="0.25">
      <c r="A1" s="3"/>
      <c r="B1" s="138"/>
      <c r="C1" s="3"/>
      <c r="D1" s="4"/>
      <c r="E1" s="3"/>
      <c r="F1" s="3"/>
      <c r="G1" s="3"/>
      <c r="H1" s="5"/>
      <c r="I1" s="152" t="s">
        <v>0</v>
      </c>
      <c r="J1" s="152"/>
      <c r="K1" s="152" t="s">
        <v>1</v>
      </c>
      <c r="L1" s="152"/>
      <c r="M1" s="152" t="s">
        <v>2</v>
      </c>
      <c r="N1" s="152"/>
      <c r="O1" s="152" t="s">
        <v>3</v>
      </c>
      <c r="P1" s="152"/>
      <c r="Q1" s="6" t="s">
        <v>4</v>
      </c>
      <c r="R1" s="7"/>
    </row>
    <row r="2" spans="1:18" s="9" customFormat="1" ht="30" customHeight="1" x14ac:dyDescent="0.25">
      <c r="A2" s="6" t="s">
        <v>5</v>
      </c>
      <c r="B2" s="138" t="s">
        <v>339</v>
      </c>
      <c r="C2" s="6" t="s">
        <v>6</v>
      </c>
      <c r="D2" s="6" t="s">
        <v>7</v>
      </c>
      <c r="E2" s="6" t="s">
        <v>8</v>
      </c>
      <c r="F2" s="129" t="s">
        <v>321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151" t="s">
        <v>449</v>
      </c>
      <c r="N2" s="6" t="s">
        <v>15</v>
      </c>
      <c r="O2" s="151" t="s">
        <v>450</v>
      </c>
      <c r="P2" s="6" t="s">
        <v>16</v>
      </c>
      <c r="Q2" s="151" t="s">
        <v>451</v>
      </c>
    </row>
    <row r="3" spans="1:18" s="7" customFormat="1" ht="45" customHeight="1" x14ac:dyDescent="0.25">
      <c r="A3" s="10">
        <v>1</v>
      </c>
      <c r="B3" s="12" t="s">
        <v>24</v>
      </c>
      <c r="C3" s="10" t="s">
        <v>17</v>
      </c>
      <c r="D3" s="11" t="s">
        <v>18</v>
      </c>
      <c r="E3" s="43" t="s">
        <v>340</v>
      </c>
      <c r="F3" s="43">
        <v>58</v>
      </c>
      <c r="G3" s="12" t="s">
        <v>19</v>
      </c>
      <c r="H3" s="10">
        <v>2019</v>
      </c>
      <c r="I3" s="12" t="s">
        <v>20</v>
      </c>
      <c r="J3" s="12" t="s">
        <v>20</v>
      </c>
      <c r="K3" s="12" t="s">
        <v>20</v>
      </c>
      <c r="L3" s="12" t="s">
        <v>20</v>
      </c>
      <c r="M3" s="12" t="s">
        <v>20</v>
      </c>
      <c r="N3" s="12" t="s">
        <v>20</v>
      </c>
      <c r="O3" s="12" t="s">
        <v>20</v>
      </c>
      <c r="P3" s="12" t="s">
        <v>20</v>
      </c>
      <c r="Q3" s="12" t="s">
        <v>20</v>
      </c>
    </row>
    <row r="4" spans="1:18" s="7" customFormat="1" ht="45" customHeight="1" x14ac:dyDescent="0.25">
      <c r="A4" s="10">
        <v>2</v>
      </c>
      <c r="B4" s="12" t="s">
        <v>24</v>
      </c>
      <c r="C4" s="10" t="s">
        <v>21</v>
      </c>
      <c r="D4" s="11" t="s">
        <v>22</v>
      </c>
      <c r="E4" s="43" t="s">
        <v>365</v>
      </c>
      <c r="F4" s="43">
        <v>61</v>
      </c>
      <c r="G4" s="12" t="s">
        <v>23</v>
      </c>
      <c r="H4" s="10">
        <v>2019</v>
      </c>
      <c r="I4" s="12" t="s">
        <v>20</v>
      </c>
      <c r="J4" s="12" t="s">
        <v>20</v>
      </c>
      <c r="K4" s="12" t="s">
        <v>24</v>
      </c>
      <c r="L4" s="12" t="s">
        <v>24</v>
      </c>
      <c r="M4" s="12" t="s">
        <v>25</v>
      </c>
      <c r="N4" s="12" t="s">
        <v>26</v>
      </c>
      <c r="O4" s="12" t="s">
        <v>27</v>
      </c>
      <c r="P4" s="12" t="s">
        <v>28</v>
      </c>
      <c r="Q4" s="12" t="s">
        <v>20</v>
      </c>
    </row>
    <row r="5" spans="1:18" ht="45" customHeight="1" x14ac:dyDescent="0.25">
      <c r="A5" s="10">
        <v>3</v>
      </c>
      <c r="B5" s="12" t="s">
        <v>24</v>
      </c>
      <c r="C5" s="10" t="s">
        <v>29</v>
      </c>
      <c r="D5" s="11" t="s">
        <v>30</v>
      </c>
      <c r="E5" s="43" t="s">
        <v>376</v>
      </c>
      <c r="F5" s="43">
        <v>63</v>
      </c>
      <c r="G5" s="12" t="s">
        <v>31</v>
      </c>
      <c r="H5" s="10">
        <v>2019</v>
      </c>
      <c r="I5" s="12" t="s">
        <v>20</v>
      </c>
      <c r="J5" s="12" t="s">
        <v>20</v>
      </c>
      <c r="K5" s="12" t="s">
        <v>32</v>
      </c>
      <c r="L5" s="12" t="s">
        <v>33</v>
      </c>
      <c r="M5" s="12" t="s">
        <v>34</v>
      </c>
      <c r="N5" s="12" t="s">
        <v>28</v>
      </c>
      <c r="O5" s="12" t="s">
        <v>34</v>
      </c>
      <c r="P5" s="12" t="s">
        <v>28</v>
      </c>
      <c r="Q5" s="12" t="s">
        <v>20</v>
      </c>
    </row>
    <row r="6" spans="1:18" ht="43.5" customHeight="1" x14ac:dyDescent="0.25">
      <c r="A6" s="10">
        <v>4</v>
      </c>
      <c r="B6" s="12" t="s">
        <v>24</v>
      </c>
      <c r="C6" s="10" t="s">
        <v>29</v>
      </c>
      <c r="D6" s="11" t="s">
        <v>30</v>
      </c>
      <c r="E6" s="43" t="s">
        <v>377</v>
      </c>
      <c r="F6" s="43">
        <v>64</v>
      </c>
      <c r="G6" s="12" t="s">
        <v>35</v>
      </c>
      <c r="H6" s="10">
        <v>2019</v>
      </c>
      <c r="I6" s="12" t="s">
        <v>20</v>
      </c>
      <c r="J6" s="12" t="s">
        <v>20</v>
      </c>
      <c r="K6" s="12" t="s">
        <v>36</v>
      </c>
      <c r="L6" s="12" t="s">
        <v>20</v>
      </c>
      <c r="M6" s="12" t="s">
        <v>37</v>
      </c>
      <c r="N6" s="12" t="s">
        <v>38</v>
      </c>
      <c r="O6" s="12" t="s">
        <v>37</v>
      </c>
      <c r="P6" s="12" t="s">
        <v>38</v>
      </c>
      <c r="Q6" s="12" t="s">
        <v>20</v>
      </c>
    </row>
    <row r="7" spans="1:18" ht="43.5" customHeight="1" x14ac:dyDescent="0.25">
      <c r="A7" s="10">
        <v>5</v>
      </c>
      <c r="B7" s="12" t="s">
        <v>24</v>
      </c>
      <c r="C7" s="10" t="s">
        <v>29</v>
      </c>
      <c r="D7" s="11" t="s">
        <v>30</v>
      </c>
      <c r="E7" s="43" t="s">
        <v>378</v>
      </c>
      <c r="F7" s="43">
        <v>69</v>
      </c>
      <c r="G7" s="12" t="s">
        <v>39</v>
      </c>
      <c r="H7" s="10">
        <v>2019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40</v>
      </c>
      <c r="N7" s="12" t="s">
        <v>41</v>
      </c>
      <c r="O7" s="12" t="s">
        <v>40</v>
      </c>
      <c r="P7" s="12" t="s">
        <v>41</v>
      </c>
      <c r="Q7" s="12" t="s">
        <v>20</v>
      </c>
    </row>
    <row r="8" spans="1:18" ht="43.5" customHeight="1" x14ac:dyDescent="0.25">
      <c r="A8" s="10">
        <v>6</v>
      </c>
      <c r="B8" s="12" t="s">
        <v>24</v>
      </c>
      <c r="C8" s="10" t="s">
        <v>42</v>
      </c>
      <c r="D8" s="11" t="s">
        <v>43</v>
      </c>
      <c r="E8" s="136" t="s">
        <v>361</v>
      </c>
      <c r="F8" s="43">
        <v>67</v>
      </c>
      <c r="G8" s="12" t="s">
        <v>44</v>
      </c>
      <c r="H8" s="10">
        <v>2019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45</v>
      </c>
      <c r="N8" s="12" t="s">
        <v>20</v>
      </c>
      <c r="O8" s="12" t="s">
        <v>45</v>
      </c>
      <c r="P8" s="12" t="s">
        <v>20</v>
      </c>
      <c r="Q8" s="12" t="s">
        <v>46</v>
      </c>
    </row>
    <row r="9" spans="1:18" ht="43.5" customHeight="1" x14ac:dyDescent="0.25">
      <c r="A9" s="10">
        <v>7</v>
      </c>
      <c r="B9" s="142" t="s">
        <v>385</v>
      </c>
      <c r="C9" s="10" t="s">
        <v>42</v>
      </c>
      <c r="D9" s="11" t="s">
        <v>43</v>
      </c>
      <c r="E9" s="137" t="s">
        <v>362</v>
      </c>
      <c r="F9" s="43">
        <v>125</v>
      </c>
      <c r="G9" s="12" t="s">
        <v>47</v>
      </c>
      <c r="H9" s="10">
        <v>2019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48</v>
      </c>
      <c r="N9" s="12" t="s">
        <v>49</v>
      </c>
      <c r="O9" s="12" t="s">
        <v>48</v>
      </c>
      <c r="P9" s="12" t="s">
        <v>49</v>
      </c>
      <c r="Q9" s="12" t="s">
        <v>50</v>
      </c>
    </row>
    <row r="10" spans="1:18" ht="43.5" customHeight="1" x14ac:dyDescent="0.25">
      <c r="A10" s="10">
        <v>8</v>
      </c>
      <c r="B10" s="12" t="s">
        <v>24</v>
      </c>
      <c r="C10" s="10" t="s">
        <v>29</v>
      </c>
      <c r="D10" s="11" t="s">
        <v>30</v>
      </c>
      <c r="E10" s="43" t="s">
        <v>379</v>
      </c>
      <c r="F10" s="43">
        <v>126</v>
      </c>
      <c r="G10" s="12" t="s">
        <v>51</v>
      </c>
      <c r="H10" s="10">
        <v>2020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52</v>
      </c>
      <c r="N10" s="10"/>
      <c r="O10" s="12" t="s">
        <v>52</v>
      </c>
      <c r="P10" s="10"/>
      <c r="Q10" s="43"/>
    </row>
    <row r="11" spans="1:18" ht="43.5" customHeight="1" x14ac:dyDescent="0.25">
      <c r="A11" s="10">
        <v>9</v>
      </c>
      <c r="B11" s="12" t="s">
        <v>24</v>
      </c>
      <c r="C11" s="10" t="s">
        <v>53</v>
      </c>
      <c r="D11" s="11" t="s">
        <v>54</v>
      </c>
      <c r="E11" s="43" t="s">
        <v>360</v>
      </c>
      <c r="F11" s="43">
        <v>133</v>
      </c>
      <c r="G11" s="12" t="s">
        <v>55</v>
      </c>
      <c r="H11" s="10">
        <v>2020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56</v>
      </c>
      <c r="N11" s="12" t="s">
        <v>57</v>
      </c>
      <c r="O11" s="12" t="s">
        <v>56</v>
      </c>
      <c r="P11" s="12" t="s">
        <v>57</v>
      </c>
      <c r="Q11" s="12" t="s">
        <v>20</v>
      </c>
    </row>
    <row r="12" spans="1:18" ht="43.5" customHeight="1" x14ac:dyDescent="0.25">
      <c r="A12" s="10">
        <v>10</v>
      </c>
      <c r="B12" s="12" t="s">
        <v>24</v>
      </c>
      <c r="C12" s="10" t="s">
        <v>58</v>
      </c>
      <c r="D12" s="11" t="s">
        <v>59</v>
      </c>
      <c r="E12" s="43" t="s">
        <v>58</v>
      </c>
      <c r="F12" s="43">
        <v>130</v>
      </c>
      <c r="G12" s="12" t="s">
        <v>31</v>
      </c>
      <c r="H12" s="10">
        <v>2020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60</v>
      </c>
      <c r="N12" s="12" t="s">
        <v>57</v>
      </c>
      <c r="O12" s="12" t="s">
        <v>60</v>
      </c>
      <c r="P12" s="12" t="s">
        <v>57</v>
      </c>
      <c r="Q12" s="12" t="s">
        <v>20</v>
      </c>
    </row>
    <row r="13" spans="1:18" ht="43.5" customHeight="1" x14ac:dyDescent="0.25">
      <c r="A13" s="10">
        <v>11</v>
      </c>
      <c r="B13" s="142" t="s">
        <v>385</v>
      </c>
      <c r="C13" s="10" t="s">
        <v>29</v>
      </c>
      <c r="D13" s="11" t="s">
        <v>30</v>
      </c>
      <c r="E13" s="43" t="s">
        <v>380</v>
      </c>
      <c r="F13" s="43">
        <v>137</v>
      </c>
      <c r="G13" s="12" t="s">
        <v>61</v>
      </c>
      <c r="H13" s="10">
        <v>2020</v>
      </c>
      <c r="I13" s="12" t="s">
        <v>20</v>
      </c>
      <c r="J13" s="12" t="s">
        <v>20</v>
      </c>
      <c r="K13" s="12" t="s">
        <v>20</v>
      </c>
      <c r="L13" s="12" t="s">
        <v>20</v>
      </c>
      <c r="M13" s="12" t="s">
        <v>62</v>
      </c>
      <c r="N13" s="43"/>
      <c r="O13" s="12" t="s">
        <v>62</v>
      </c>
      <c r="P13" s="43"/>
      <c r="Q13" s="12" t="s">
        <v>62</v>
      </c>
    </row>
    <row r="14" spans="1:18" ht="43.5" customHeight="1" x14ac:dyDescent="0.25">
      <c r="A14" s="10">
        <v>12</v>
      </c>
      <c r="B14" s="142" t="s">
        <v>385</v>
      </c>
      <c r="C14" s="10" t="s">
        <v>21</v>
      </c>
      <c r="D14" s="11" t="s">
        <v>22</v>
      </c>
      <c r="E14" s="43" t="s">
        <v>366</v>
      </c>
      <c r="F14" s="43">
        <v>144</v>
      </c>
      <c r="G14" s="12" t="s">
        <v>63</v>
      </c>
      <c r="H14" s="10">
        <v>2021</v>
      </c>
      <c r="I14" s="12" t="s">
        <v>20</v>
      </c>
      <c r="J14" s="12" t="s">
        <v>20</v>
      </c>
      <c r="K14" s="12" t="s">
        <v>20</v>
      </c>
      <c r="L14" s="12" t="s">
        <v>20</v>
      </c>
      <c r="M14" s="12" t="s">
        <v>64</v>
      </c>
      <c r="N14" s="12" t="s">
        <v>57</v>
      </c>
      <c r="O14" s="12" t="s">
        <v>64</v>
      </c>
      <c r="P14" s="12" t="s">
        <v>57</v>
      </c>
      <c r="Q14" s="12" t="s">
        <v>20</v>
      </c>
    </row>
    <row r="15" spans="1:18" ht="43.5" customHeight="1" x14ac:dyDescent="0.25">
      <c r="A15" s="10">
        <v>13</v>
      </c>
      <c r="B15" s="142" t="s">
        <v>385</v>
      </c>
      <c r="C15" s="10" t="s">
        <v>65</v>
      </c>
      <c r="D15" s="11" t="s">
        <v>66</v>
      </c>
      <c r="E15" s="43" t="s">
        <v>396</v>
      </c>
      <c r="F15" s="43">
        <v>145</v>
      </c>
      <c r="G15" s="12" t="s">
        <v>67</v>
      </c>
      <c r="H15" s="10">
        <v>2021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68</v>
      </c>
      <c r="N15" s="43"/>
      <c r="O15" s="12" t="s">
        <v>68</v>
      </c>
      <c r="P15" s="43"/>
      <c r="Q15" s="43"/>
    </row>
    <row r="16" spans="1:18" ht="43.5" customHeight="1" x14ac:dyDescent="0.25">
      <c r="A16" s="10">
        <v>14</v>
      </c>
      <c r="B16" s="12" t="s">
        <v>24</v>
      </c>
      <c r="C16" s="10" t="s">
        <v>29</v>
      </c>
      <c r="D16" s="11" t="s">
        <v>30</v>
      </c>
      <c r="E16" s="43" t="s">
        <v>382</v>
      </c>
      <c r="F16" s="43">
        <v>151</v>
      </c>
      <c r="G16" s="12" t="s">
        <v>69</v>
      </c>
      <c r="H16" s="10">
        <v>2021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70</v>
      </c>
      <c r="N16" s="12" t="s">
        <v>71</v>
      </c>
      <c r="O16" s="12" t="s">
        <v>70</v>
      </c>
      <c r="P16" s="12" t="s">
        <v>71</v>
      </c>
      <c r="Q16" s="12" t="s">
        <v>70</v>
      </c>
    </row>
    <row r="17" spans="1:17" ht="43.5" customHeight="1" x14ac:dyDescent="0.25">
      <c r="A17" s="10">
        <v>15</v>
      </c>
      <c r="B17" s="12" t="s">
        <v>24</v>
      </c>
      <c r="C17" s="10" t="s">
        <v>21</v>
      </c>
      <c r="D17" s="11" t="s">
        <v>22</v>
      </c>
      <c r="E17" s="43" t="s">
        <v>367</v>
      </c>
      <c r="F17" s="43">
        <v>146</v>
      </c>
      <c r="G17" s="12" t="s">
        <v>72</v>
      </c>
      <c r="H17" s="10">
        <v>2021</v>
      </c>
      <c r="I17" s="12" t="s">
        <v>20</v>
      </c>
      <c r="J17" s="12" t="s">
        <v>20</v>
      </c>
      <c r="K17" s="12" t="s">
        <v>20</v>
      </c>
      <c r="L17" s="12" t="s">
        <v>20</v>
      </c>
      <c r="M17" s="12" t="s">
        <v>64</v>
      </c>
      <c r="N17" s="12" t="s">
        <v>57</v>
      </c>
      <c r="O17" s="12" t="s">
        <v>64</v>
      </c>
      <c r="P17" s="12" t="s">
        <v>57</v>
      </c>
      <c r="Q17" s="12" t="s">
        <v>20</v>
      </c>
    </row>
    <row r="18" spans="1:17" ht="43.5" customHeight="1" x14ac:dyDescent="0.25">
      <c r="A18" s="10">
        <v>16</v>
      </c>
      <c r="B18" s="12" t="s">
        <v>24</v>
      </c>
      <c r="C18" s="10" t="s">
        <v>65</v>
      </c>
      <c r="D18" s="11" t="s">
        <v>66</v>
      </c>
      <c r="E18" s="43" t="s">
        <v>397</v>
      </c>
      <c r="F18" s="43">
        <v>153</v>
      </c>
      <c r="G18" s="12" t="s">
        <v>72</v>
      </c>
      <c r="H18" s="10">
        <v>2021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73</v>
      </c>
      <c r="N18" s="43"/>
      <c r="O18" s="12" t="s">
        <v>73</v>
      </c>
      <c r="P18" s="43"/>
      <c r="Q18" s="12" t="s">
        <v>73</v>
      </c>
    </row>
    <row r="19" spans="1:17" ht="43.5" customHeight="1" x14ac:dyDescent="0.25">
      <c r="A19" s="10">
        <v>17</v>
      </c>
      <c r="B19" s="12" t="s">
        <v>24</v>
      </c>
      <c r="C19" s="10" t="s">
        <v>29</v>
      </c>
      <c r="D19" s="11" t="s">
        <v>30</v>
      </c>
      <c r="E19" s="43" t="s">
        <v>381</v>
      </c>
      <c r="F19" s="43">
        <v>154</v>
      </c>
      <c r="G19" s="12" t="s">
        <v>74</v>
      </c>
      <c r="H19" s="10">
        <v>2021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75</v>
      </c>
      <c r="N19" s="43"/>
      <c r="O19" s="12" t="s">
        <v>75</v>
      </c>
      <c r="P19" s="43"/>
      <c r="Q19" s="12" t="s">
        <v>75</v>
      </c>
    </row>
    <row r="20" spans="1:17" ht="43.5" customHeight="1" x14ac:dyDescent="0.25">
      <c r="A20" s="10">
        <v>18</v>
      </c>
      <c r="B20" s="12" t="s">
        <v>24</v>
      </c>
      <c r="C20" s="10" t="s">
        <v>76</v>
      </c>
      <c r="D20" s="11" t="s">
        <v>77</v>
      </c>
      <c r="E20" s="43" t="s">
        <v>76</v>
      </c>
      <c r="F20" s="43">
        <v>158</v>
      </c>
      <c r="G20" s="12" t="s">
        <v>78</v>
      </c>
      <c r="H20" s="10">
        <v>2022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79</v>
      </c>
      <c r="N20" s="43"/>
      <c r="O20" s="12" t="s">
        <v>79</v>
      </c>
      <c r="P20" s="43"/>
      <c r="Q20" s="13" t="s">
        <v>79</v>
      </c>
    </row>
    <row r="21" spans="1:17" ht="43.5" customHeight="1" x14ac:dyDescent="0.25">
      <c r="A21" s="10">
        <v>19</v>
      </c>
      <c r="B21" s="12" t="s">
        <v>24</v>
      </c>
      <c r="C21" s="10" t="s">
        <v>29</v>
      </c>
      <c r="D21" s="11" t="s">
        <v>30</v>
      </c>
      <c r="E21" s="43" t="s">
        <v>383</v>
      </c>
      <c r="F21" s="43">
        <v>161</v>
      </c>
      <c r="G21" s="12" t="s">
        <v>80</v>
      </c>
      <c r="H21" s="10">
        <v>2022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81</v>
      </c>
      <c r="N21" s="43"/>
      <c r="O21" s="12" t="s">
        <v>81</v>
      </c>
      <c r="P21" s="43"/>
      <c r="Q21" s="13" t="s">
        <v>81</v>
      </c>
    </row>
    <row r="22" spans="1:17" ht="43.5" customHeight="1" x14ac:dyDescent="0.25">
      <c r="A22" s="10">
        <v>20</v>
      </c>
      <c r="B22" s="12" t="s">
        <v>24</v>
      </c>
      <c r="C22" s="10" t="s">
        <v>82</v>
      </c>
      <c r="D22" s="11" t="s">
        <v>83</v>
      </c>
      <c r="E22" s="43" t="s">
        <v>405</v>
      </c>
      <c r="F22" s="43">
        <v>167</v>
      </c>
      <c r="G22" s="12" t="s">
        <v>84</v>
      </c>
      <c r="H22" s="10">
        <v>2022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  <c r="N22" s="12" t="s">
        <v>20</v>
      </c>
      <c r="O22" s="12" t="s">
        <v>20</v>
      </c>
      <c r="P22" s="12" t="s">
        <v>20</v>
      </c>
      <c r="Q22" s="12" t="s">
        <v>20</v>
      </c>
    </row>
    <row r="23" spans="1:17" ht="45" customHeight="1" x14ac:dyDescent="0.25">
      <c r="A23" s="10">
        <v>21</v>
      </c>
      <c r="B23" s="142" t="s">
        <v>385</v>
      </c>
      <c r="C23" s="10" t="s">
        <v>29</v>
      </c>
      <c r="D23" s="11" t="s">
        <v>30</v>
      </c>
      <c r="E23" s="43" t="s">
        <v>384</v>
      </c>
      <c r="F23" s="43">
        <v>165</v>
      </c>
      <c r="G23" s="13" t="s">
        <v>85</v>
      </c>
      <c r="H23" s="10">
        <v>2022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86</v>
      </c>
      <c r="N23" s="43"/>
      <c r="O23" s="12" t="s">
        <v>86</v>
      </c>
      <c r="P23" s="43"/>
      <c r="Q23" s="13" t="s">
        <v>86</v>
      </c>
    </row>
    <row r="24" spans="1:17" ht="45" customHeight="1" x14ac:dyDescent="0.25">
      <c r="A24" s="10">
        <v>22</v>
      </c>
      <c r="B24" s="12" t="s">
        <v>24</v>
      </c>
      <c r="C24" s="10" t="s">
        <v>65</v>
      </c>
      <c r="D24" s="11" t="s">
        <v>66</v>
      </c>
      <c r="E24" s="43" t="s">
        <v>398</v>
      </c>
      <c r="F24" s="43">
        <v>163</v>
      </c>
      <c r="G24" s="12" t="s">
        <v>78</v>
      </c>
      <c r="H24" s="10">
        <v>2022</v>
      </c>
      <c r="I24" s="12" t="s">
        <v>20</v>
      </c>
      <c r="J24" s="12" t="s">
        <v>20</v>
      </c>
      <c r="K24" s="12" t="s">
        <v>20</v>
      </c>
      <c r="L24" s="12" t="s">
        <v>20</v>
      </c>
      <c r="M24" s="12" t="s">
        <v>87</v>
      </c>
      <c r="N24" s="43"/>
      <c r="O24" s="12" t="s">
        <v>87</v>
      </c>
      <c r="P24" s="43"/>
      <c r="Q24" s="13" t="s">
        <v>87</v>
      </c>
    </row>
    <row r="25" spans="1:17" ht="45" customHeight="1" x14ac:dyDescent="0.25">
      <c r="A25" s="10">
        <v>23</v>
      </c>
      <c r="B25" s="142" t="s">
        <v>385</v>
      </c>
      <c r="C25" s="10" t="s">
        <v>29</v>
      </c>
      <c r="D25" s="11" t="s">
        <v>30</v>
      </c>
      <c r="E25" s="43" t="s">
        <v>386</v>
      </c>
      <c r="F25" s="43">
        <v>166</v>
      </c>
      <c r="G25" s="12" t="s">
        <v>88</v>
      </c>
      <c r="H25" s="10">
        <v>2022</v>
      </c>
      <c r="I25" s="12" t="s">
        <v>20</v>
      </c>
      <c r="J25" s="12" t="s">
        <v>20</v>
      </c>
      <c r="K25" s="12" t="s">
        <v>20</v>
      </c>
      <c r="L25" s="12" t="s">
        <v>20</v>
      </c>
      <c r="M25" s="12" t="s">
        <v>89</v>
      </c>
      <c r="N25" s="43"/>
      <c r="O25" s="12" t="s">
        <v>89</v>
      </c>
      <c r="P25" s="43"/>
      <c r="Q25" s="13" t="s">
        <v>89</v>
      </c>
    </row>
    <row r="26" spans="1:17" ht="45" customHeight="1" x14ac:dyDescent="0.25">
      <c r="A26" s="10">
        <v>24</v>
      </c>
      <c r="B26" s="12" t="s">
        <v>24</v>
      </c>
      <c r="C26" s="10" t="s">
        <v>58</v>
      </c>
      <c r="D26" s="11" t="s">
        <v>59</v>
      </c>
      <c r="E26" s="43" t="s">
        <v>372</v>
      </c>
      <c r="F26" s="43">
        <v>164</v>
      </c>
      <c r="G26" s="12" t="s">
        <v>78</v>
      </c>
      <c r="H26" s="10">
        <v>2022</v>
      </c>
      <c r="I26" s="12" t="s">
        <v>20</v>
      </c>
      <c r="J26" s="12" t="s">
        <v>20</v>
      </c>
      <c r="K26" s="12" t="s">
        <v>20</v>
      </c>
      <c r="L26" s="12" t="s">
        <v>20</v>
      </c>
      <c r="M26" s="12" t="s">
        <v>90</v>
      </c>
      <c r="N26" s="43"/>
      <c r="O26" s="12" t="s">
        <v>90</v>
      </c>
      <c r="P26" s="43"/>
      <c r="Q26" s="13" t="s">
        <v>90</v>
      </c>
    </row>
    <row r="27" spans="1:17" ht="45" customHeight="1" x14ac:dyDescent="0.25">
      <c r="A27" s="10">
        <v>25</v>
      </c>
      <c r="B27" s="12" t="s">
        <v>24</v>
      </c>
      <c r="C27" s="10" t="s">
        <v>65</v>
      </c>
      <c r="D27" s="11" t="s">
        <v>66</v>
      </c>
      <c r="E27" s="43" t="s">
        <v>399</v>
      </c>
      <c r="F27" s="43">
        <v>168</v>
      </c>
      <c r="G27" s="12" t="s">
        <v>91</v>
      </c>
      <c r="H27" s="10">
        <v>2022</v>
      </c>
      <c r="I27" s="12" t="s">
        <v>20</v>
      </c>
      <c r="J27" s="12" t="s">
        <v>20</v>
      </c>
      <c r="K27" s="12" t="s">
        <v>20</v>
      </c>
      <c r="L27" s="12" t="s">
        <v>20</v>
      </c>
      <c r="M27" s="12" t="s">
        <v>92</v>
      </c>
      <c r="N27" s="43"/>
      <c r="O27" s="12" t="s">
        <v>92</v>
      </c>
      <c r="P27" s="43"/>
      <c r="Q27" s="13" t="s">
        <v>92</v>
      </c>
    </row>
    <row r="28" spans="1:17" ht="45" customHeight="1" x14ac:dyDescent="0.25">
      <c r="A28" s="10">
        <v>26</v>
      </c>
      <c r="B28" s="12" t="s">
        <v>24</v>
      </c>
      <c r="C28" s="10" t="s">
        <v>82</v>
      </c>
      <c r="D28" s="11" t="s">
        <v>83</v>
      </c>
      <c r="E28" s="43" t="s">
        <v>403</v>
      </c>
      <c r="F28" s="43">
        <v>172</v>
      </c>
      <c r="G28" s="12" t="s">
        <v>93</v>
      </c>
      <c r="H28" s="10">
        <v>2022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20</v>
      </c>
      <c r="N28" s="12" t="s">
        <v>20</v>
      </c>
      <c r="O28" s="12" t="s">
        <v>20</v>
      </c>
      <c r="P28" s="12" t="s">
        <v>20</v>
      </c>
      <c r="Q28" s="12" t="s">
        <v>20</v>
      </c>
    </row>
    <row r="29" spans="1:17" ht="45" customHeight="1" x14ac:dyDescent="0.25">
      <c r="A29" s="10">
        <v>27</v>
      </c>
      <c r="B29" s="12" t="s">
        <v>24</v>
      </c>
      <c r="C29" s="10" t="s">
        <v>21</v>
      </c>
      <c r="D29" s="11" t="s">
        <v>22</v>
      </c>
      <c r="E29" s="43" t="s">
        <v>368</v>
      </c>
      <c r="F29" s="43">
        <v>171</v>
      </c>
      <c r="G29" s="12" t="s">
        <v>78</v>
      </c>
      <c r="H29" s="10">
        <v>2022</v>
      </c>
      <c r="I29" s="12" t="s">
        <v>20</v>
      </c>
      <c r="J29" s="12" t="s">
        <v>20</v>
      </c>
      <c r="K29" s="12" t="s">
        <v>20</v>
      </c>
      <c r="L29" s="12" t="s">
        <v>20</v>
      </c>
      <c r="M29" s="12" t="s">
        <v>94</v>
      </c>
      <c r="N29" s="12" t="s">
        <v>95</v>
      </c>
      <c r="O29" s="12" t="s">
        <v>94</v>
      </c>
      <c r="P29" s="12" t="s">
        <v>95</v>
      </c>
      <c r="Q29" s="13" t="s">
        <v>94</v>
      </c>
    </row>
    <row r="30" spans="1:17" ht="45" customHeight="1" x14ac:dyDescent="0.25">
      <c r="A30" s="10">
        <v>28</v>
      </c>
      <c r="B30" s="142" t="s">
        <v>385</v>
      </c>
      <c r="C30" s="10" t="s">
        <v>29</v>
      </c>
      <c r="D30" s="11" t="s">
        <v>30</v>
      </c>
      <c r="E30" s="43" t="s">
        <v>387</v>
      </c>
      <c r="F30" s="43">
        <v>173</v>
      </c>
      <c r="G30" s="12" t="s">
        <v>78</v>
      </c>
      <c r="H30" s="10">
        <v>2022</v>
      </c>
      <c r="I30" s="12" t="s">
        <v>20</v>
      </c>
      <c r="J30" s="12" t="s">
        <v>20</v>
      </c>
      <c r="K30" s="12" t="s">
        <v>20</v>
      </c>
      <c r="L30" s="12" t="s">
        <v>20</v>
      </c>
      <c r="M30" s="12" t="s">
        <v>96</v>
      </c>
      <c r="N30" s="12" t="s">
        <v>97</v>
      </c>
      <c r="O30" s="12" t="s">
        <v>96</v>
      </c>
      <c r="P30" s="12" t="s">
        <v>97</v>
      </c>
      <c r="Q30" s="12" t="s">
        <v>96</v>
      </c>
    </row>
    <row r="31" spans="1:17" ht="45" customHeight="1" x14ac:dyDescent="0.25">
      <c r="A31" s="10">
        <v>29</v>
      </c>
      <c r="B31" s="142" t="s">
        <v>385</v>
      </c>
      <c r="C31" s="10" t="s">
        <v>29</v>
      </c>
      <c r="D31" s="11" t="s">
        <v>30</v>
      </c>
      <c r="E31" s="43" t="s">
        <v>388</v>
      </c>
      <c r="F31" s="43">
        <v>174</v>
      </c>
      <c r="G31" s="12" t="s">
        <v>98</v>
      </c>
      <c r="H31" s="10">
        <v>2022</v>
      </c>
      <c r="I31" s="12" t="s">
        <v>20</v>
      </c>
      <c r="J31" s="12" t="s">
        <v>20</v>
      </c>
      <c r="K31" s="12" t="s">
        <v>20</v>
      </c>
      <c r="L31" s="12" t="s">
        <v>20</v>
      </c>
      <c r="M31" s="12" t="s">
        <v>99</v>
      </c>
      <c r="N31" s="43"/>
      <c r="O31" s="12" t="s">
        <v>99</v>
      </c>
      <c r="P31" s="43"/>
      <c r="Q31" s="12" t="s">
        <v>99</v>
      </c>
    </row>
    <row r="32" spans="1:17" ht="45" customHeight="1" x14ac:dyDescent="0.25">
      <c r="A32" s="10">
        <v>30</v>
      </c>
      <c r="B32" s="12" t="s">
        <v>24</v>
      </c>
      <c r="C32" s="10" t="s">
        <v>42</v>
      </c>
      <c r="D32" s="11" t="s">
        <v>43</v>
      </c>
      <c r="E32" s="43" t="s">
        <v>363</v>
      </c>
      <c r="F32" s="43">
        <v>175</v>
      </c>
      <c r="G32" s="12" t="s">
        <v>100</v>
      </c>
      <c r="H32" s="10">
        <v>2022</v>
      </c>
      <c r="I32" s="12" t="s">
        <v>20</v>
      </c>
      <c r="J32" s="12" t="s">
        <v>20</v>
      </c>
      <c r="K32" s="12" t="s">
        <v>20</v>
      </c>
      <c r="L32" s="12" t="s">
        <v>20</v>
      </c>
      <c r="M32" s="13" t="s">
        <v>101</v>
      </c>
      <c r="N32" s="13"/>
      <c r="O32" s="13" t="s">
        <v>101</v>
      </c>
      <c r="P32" s="13"/>
      <c r="Q32" s="13" t="s">
        <v>20</v>
      </c>
    </row>
    <row r="33" spans="1:17" ht="45" customHeight="1" x14ac:dyDescent="0.25">
      <c r="A33" s="10">
        <v>31</v>
      </c>
      <c r="B33" s="12" t="s">
        <v>24</v>
      </c>
      <c r="C33" s="10" t="s">
        <v>58</v>
      </c>
      <c r="D33" s="11" t="s">
        <v>59</v>
      </c>
      <c r="E33" s="43" t="s">
        <v>373</v>
      </c>
      <c r="F33" s="43">
        <v>176</v>
      </c>
      <c r="G33" s="12" t="s">
        <v>91</v>
      </c>
      <c r="H33" s="10">
        <v>2022</v>
      </c>
      <c r="I33" s="12" t="s">
        <v>20</v>
      </c>
      <c r="J33" s="12" t="s">
        <v>20</v>
      </c>
      <c r="K33" s="12" t="s">
        <v>20</v>
      </c>
      <c r="L33" s="12" t="s">
        <v>20</v>
      </c>
      <c r="M33" s="13" t="s">
        <v>102</v>
      </c>
      <c r="N33" s="13" t="s">
        <v>103</v>
      </c>
      <c r="O33" s="13" t="s">
        <v>102</v>
      </c>
      <c r="P33" s="13" t="s">
        <v>103</v>
      </c>
      <c r="Q33" s="13" t="s">
        <v>102</v>
      </c>
    </row>
    <row r="34" spans="1:17" ht="45" customHeight="1" x14ac:dyDescent="0.25">
      <c r="A34" s="10">
        <v>32</v>
      </c>
      <c r="B34" s="142" t="s">
        <v>385</v>
      </c>
      <c r="C34" s="10" t="s">
        <v>29</v>
      </c>
      <c r="D34" s="11" t="s">
        <v>30</v>
      </c>
      <c r="E34" s="43" t="s">
        <v>389</v>
      </c>
      <c r="F34" s="43">
        <v>178</v>
      </c>
      <c r="G34" s="12" t="s">
        <v>104</v>
      </c>
      <c r="H34" s="10">
        <v>2022</v>
      </c>
      <c r="I34" s="12" t="s">
        <v>20</v>
      </c>
      <c r="J34" s="12" t="s">
        <v>20</v>
      </c>
      <c r="K34" s="12" t="s">
        <v>20</v>
      </c>
      <c r="L34" s="12" t="s">
        <v>20</v>
      </c>
      <c r="M34" s="13" t="s">
        <v>105</v>
      </c>
      <c r="N34" s="13" t="s">
        <v>103</v>
      </c>
      <c r="O34" s="13" t="s">
        <v>105</v>
      </c>
      <c r="P34" s="13" t="s">
        <v>103</v>
      </c>
      <c r="Q34" s="13" t="s">
        <v>105</v>
      </c>
    </row>
    <row r="35" spans="1:17" ht="45" customHeight="1" x14ac:dyDescent="0.25">
      <c r="A35" s="10">
        <v>33</v>
      </c>
      <c r="B35" s="12" t="s">
        <v>24</v>
      </c>
      <c r="C35" s="10" t="s">
        <v>65</v>
      </c>
      <c r="D35" s="11" t="s">
        <v>66</v>
      </c>
      <c r="E35" s="43" t="s">
        <v>400</v>
      </c>
      <c r="F35" s="43">
        <v>179</v>
      </c>
      <c r="G35" s="12" t="s">
        <v>106</v>
      </c>
      <c r="H35" s="10">
        <v>2023</v>
      </c>
      <c r="I35" s="12" t="s">
        <v>20</v>
      </c>
      <c r="J35" s="12" t="s">
        <v>20</v>
      </c>
      <c r="K35" s="12" t="s">
        <v>20</v>
      </c>
      <c r="L35" s="12" t="s">
        <v>20</v>
      </c>
      <c r="M35" s="13" t="s">
        <v>107</v>
      </c>
      <c r="N35" s="13" t="s">
        <v>108</v>
      </c>
      <c r="O35" s="13" t="s">
        <v>107</v>
      </c>
      <c r="P35" s="13" t="s">
        <v>108</v>
      </c>
      <c r="Q35" s="13" t="s">
        <v>107</v>
      </c>
    </row>
    <row r="36" spans="1:17" ht="45" customHeight="1" x14ac:dyDescent="0.25">
      <c r="A36" s="10">
        <v>34</v>
      </c>
      <c r="B36" s="12" t="s">
        <v>24</v>
      </c>
      <c r="C36" s="10" t="s">
        <v>58</v>
      </c>
      <c r="D36" s="11" t="s">
        <v>59</v>
      </c>
      <c r="E36" s="43" t="s">
        <v>374</v>
      </c>
      <c r="F36" s="43">
        <v>180</v>
      </c>
      <c r="G36" s="12" t="s">
        <v>106</v>
      </c>
      <c r="H36" s="10">
        <v>2023</v>
      </c>
      <c r="I36" s="12" t="s">
        <v>20</v>
      </c>
      <c r="J36" s="12" t="s">
        <v>20</v>
      </c>
      <c r="K36" s="12" t="s">
        <v>20</v>
      </c>
      <c r="L36" s="12" t="s">
        <v>20</v>
      </c>
      <c r="M36" s="13" t="s">
        <v>109</v>
      </c>
      <c r="N36" s="13" t="s">
        <v>108</v>
      </c>
      <c r="O36" s="13" t="s">
        <v>109</v>
      </c>
      <c r="P36" s="13" t="s">
        <v>108</v>
      </c>
      <c r="Q36" s="13" t="s">
        <v>109</v>
      </c>
    </row>
    <row r="37" spans="1:17" ht="45" customHeight="1" x14ac:dyDescent="0.25">
      <c r="A37" s="10">
        <v>35</v>
      </c>
      <c r="B37" s="142" t="s">
        <v>385</v>
      </c>
      <c r="C37" s="10" t="s">
        <v>42</v>
      </c>
      <c r="D37" s="11" t="s">
        <v>43</v>
      </c>
      <c r="E37" s="43" t="s">
        <v>364</v>
      </c>
      <c r="F37" s="43">
        <v>182</v>
      </c>
      <c r="G37" s="12" t="s">
        <v>110</v>
      </c>
      <c r="H37" s="10">
        <v>2023</v>
      </c>
      <c r="I37" s="12" t="s">
        <v>20</v>
      </c>
      <c r="J37" s="12" t="s">
        <v>20</v>
      </c>
      <c r="K37" s="12" t="s">
        <v>20</v>
      </c>
      <c r="L37" s="12" t="s">
        <v>20</v>
      </c>
      <c r="M37" s="13" t="s">
        <v>111</v>
      </c>
      <c r="N37" s="13" t="s">
        <v>108</v>
      </c>
      <c r="O37" s="13" t="s">
        <v>111</v>
      </c>
      <c r="P37" s="13" t="s">
        <v>108</v>
      </c>
      <c r="Q37" s="13" t="s">
        <v>20</v>
      </c>
    </row>
    <row r="38" spans="1:17" ht="45" customHeight="1" x14ac:dyDescent="0.25">
      <c r="A38" s="10">
        <v>36</v>
      </c>
      <c r="B38" s="12" t="s">
        <v>24</v>
      </c>
      <c r="C38" s="10" t="s">
        <v>112</v>
      </c>
      <c r="D38" s="11" t="s">
        <v>113</v>
      </c>
      <c r="E38" s="43" t="s">
        <v>413</v>
      </c>
      <c r="F38" s="43">
        <v>183</v>
      </c>
      <c r="G38" s="12" t="s">
        <v>416</v>
      </c>
      <c r="H38" s="10">
        <v>2023</v>
      </c>
      <c r="I38" s="12" t="s">
        <v>20</v>
      </c>
      <c r="J38" s="12" t="s">
        <v>20</v>
      </c>
      <c r="K38" s="12" t="s">
        <v>20</v>
      </c>
      <c r="L38" s="12" t="s">
        <v>20</v>
      </c>
      <c r="M38" s="13" t="s">
        <v>114</v>
      </c>
      <c r="N38" s="13" t="s">
        <v>108</v>
      </c>
      <c r="O38" s="13" t="s">
        <v>114</v>
      </c>
      <c r="P38" s="13" t="s">
        <v>108</v>
      </c>
      <c r="Q38" s="13" t="s">
        <v>20</v>
      </c>
    </row>
    <row r="39" spans="1:17" ht="45" customHeight="1" x14ac:dyDescent="0.25">
      <c r="A39" s="10">
        <v>37</v>
      </c>
      <c r="B39" s="142" t="s">
        <v>385</v>
      </c>
      <c r="C39" s="10" t="s">
        <v>76</v>
      </c>
      <c r="D39" s="11" t="s">
        <v>77</v>
      </c>
      <c r="E39" s="43" t="s">
        <v>402</v>
      </c>
      <c r="F39" s="43">
        <v>185</v>
      </c>
      <c r="G39" s="12" t="s">
        <v>106</v>
      </c>
      <c r="H39" s="10">
        <v>2023</v>
      </c>
      <c r="I39" s="12" t="s">
        <v>20</v>
      </c>
      <c r="J39" s="12" t="s">
        <v>20</v>
      </c>
      <c r="K39" s="12" t="s">
        <v>20</v>
      </c>
      <c r="L39" s="12" t="s">
        <v>20</v>
      </c>
      <c r="M39" s="13" t="s">
        <v>115</v>
      </c>
      <c r="N39" s="13" t="s">
        <v>108</v>
      </c>
      <c r="O39" s="13" t="s">
        <v>115</v>
      </c>
      <c r="P39" s="13" t="s">
        <v>108</v>
      </c>
      <c r="Q39" s="13" t="s">
        <v>115</v>
      </c>
    </row>
    <row r="40" spans="1:17" ht="45" customHeight="1" x14ac:dyDescent="0.25">
      <c r="A40" s="10">
        <v>38</v>
      </c>
      <c r="B40" s="12" t="s">
        <v>24</v>
      </c>
      <c r="C40" s="10" t="s">
        <v>65</v>
      </c>
      <c r="D40" s="11" t="s">
        <v>66</v>
      </c>
      <c r="E40" s="43" t="s">
        <v>401</v>
      </c>
      <c r="F40" s="43">
        <v>184</v>
      </c>
      <c r="G40" s="12" t="s">
        <v>116</v>
      </c>
      <c r="H40" s="10">
        <v>2023</v>
      </c>
      <c r="I40" s="12" t="s">
        <v>20</v>
      </c>
      <c r="J40" s="12" t="s">
        <v>20</v>
      </c>
      <c r="K40" s="12" t="s">
        <v>20</v>
      </c>
      <c r="L40" s="12" t="s">
        <v>20</v>
      </c>
      <c r="M40" s="13" t="s">
        <v>117</v>
      </c>
      <c r="N40" s="13" t="s">
        <v>108</v>
      </c>
      <c r="O40" s="13" t="s">
        <v>117</v>
      </c>
      <c r="P40" s="13" t="s">
        <v>108</v>
      </c>
      <c r="Q40" s="13" t="s">
        <v>117</v>
      </c>
    </row>
    <row r="41" spans="1:17" ht="45" customHeight="1" x14ac:dyDescent="0.25">
      <c r="A41" s="10">
        <v>39</v>
      </c>
      <c r="B41" s="142" t="s">
        <v>407</v>
      </c>
      <c r="C41" s="10" t="s">
        <v>118</v>
      </c>
      <c r="D41" s="11" t="s">
        <v>119</v>
      </c>
      <c r="E41" s="43" t="s">
        <v>406</v>
      </c>
      <c r="F41" s="43">
        <v>181</v>
      </c>
      <c r="G41" s="12" t="s">
        <v>106</v>
      </c>
      <c r="H41" s="10">
        <v>2023</v>
      </c>
      <c r="I41" s="12" t="s">
        <v>20</v>
      </c>
      <c r="J41" s="12" t="s">
        <v>20</v>
      </c>
      <c r="K41" s="12" t="s">
        <v>20</v>
      </c>
      <c r="L41" s="12" t="s">
        <v>20</v>
      </c>
      <c r="M41" s="13" t="s">
        <v>120</v>
      </c>
      <c r="N41" s="13" t="s">
        <v>108</v>
      </c>
      <c r="O41" s="13" t="s">
        <v>120</v>
      </c>
      <c r="P41" s="13" t="s">
        <v>108</v>
      </c>
      <c r="Q41" s="13" t="s">
        <v>20</v>
      </c>
    </row>
    <row r="42" spans="1:17" ht="45" customHeight="1" x14ac:dyDescent="0.25">
      <c r="A42" s="10">
        <v>40</v>
      </c>
      <c r="B42" s="12" t="s">
        <v>24</v>
      </c>
      <c r="C42" s="10" t="s">
        <v>112</v>
      </c>
      <c r="D42" s="11" t="s">
        <v>113</v>
      </c>
      <c r="E42" s="43" t="s">
        <v>412</v>
      </c>
      <c r="F42" s="43">
        <v>187</v>
      </c>
      <c r="G42" s="13" t="s">
        <v>417</v>
      </c>
      <c r="H42" s="10">
        <v>2023</v>
      </c>
      <c r="I42" s="12" t="s">
        <v>20</v>
      </c>
      <c r="J42" s="12" t="s">
        <v>20</v>
      </c>
      <c r="K42" s="12" t="s">
        <v>20</v>
      </c>
      <c r="L42" s="12" t="s">
        <v>20</v>
      </c>
      <c r="M42" s="13" t="s">
        <v>121</v>
      </c>
      <c r="N42" s="13" t="s">
        <v>108</v>
      </c>
      <c r="O42" s="13" t="s">
        <v>121</v>
      </c>
      <c r="P42" s="13" t="s">
        <v>108</v>
      </c>
      <c r="Q42" s="13" t="s">
        <v>20</v>
      </c>
    </row>
    <row r="43" spans="1:17" ht="45" customHeight="1" x14ac:dyDescent="0.25">
      <c r="A43" s="10">
        <v>41</v>
      </c>
      <c r="B43" s="12" t="s">
        <v>24</v>
      </c>
      <c r="C43" s="10" t="s">
        <v>122</v>
      </c>
      <c r="D43" s="11" t="s">
        <v>123</v>
      </c>
      <c r="E43" s="43" t="s">
        <v>370</v>
      </c>
      <c r="F43" s="43">
        <v>186</v>
      </c>
      <c r="G43" s="12" t="s">
        <v>106</v>
      </c>
      <c r="H43" s="10">
        <v>2023</v>
      </c>
      <c r="I43" s="12" t="s">
        <v>20</v>
      </c>
      <c r="J43" s="12" t="s">
        <v>20</v>
      </c>
      <c r="K43" s="12" t="s">
        <v>20</v>
      </c>
      <c r="L43" s="12" t="s">
        <v>20</v>
      </c>
      <c r="M43" s="13" t="s">
        <v>425</v>
      </c>
      <c r="N43" s="13" t="s">
        <v>447</v>
      </c>
      <c r="O43" s="13" t="s">
        <v>425</v>
      </c>
      <c r="P43" s="13" t="s">
        <v>447</v>
      </c>
      <c r="Q43" s="13" t="s">
        <v>425</v>
      </c>
    </row>
    <row r="44" spans="1:17" ht="45" customHeight="1" x14ac:dyDescent="0.25">
      <c r="A44" s="10">
        <v>42</v>
      </c>
      <c r="B44" s="12" t="s">
        <v>24</v>
      </c>
      <c r="C44" s="10" t="s">
        <v>112</v>
      </c>
      <c r="D44" s="11" t="s">
        <v>113</v>
      </c>
      <c r="E44" s="43" t="s">
        <v>411</v>
      </c>
      <c r="F44" s="43">
        <v>189</v>
      </c>
      <c r="G44" s="13" t="s">
        <v>418</v>
      </c>
      <c r="H44" s="10">
        <v>2023</v>
      </c>
      <c r="I44" s="12" t="s">
        <v>20</v>
      </c>
      <c r="J44" s="12" t="s">
        <v>20</v>
      </c>
      <c r="K44" s="12" t="s">
        <v>20</v>
      </c>
      <c r="L44" s="12" t="s">
        <v>20</v>
      </c>
      <c r="M44" s="13" t="s">
        <v>124</v>
      </c>
      <c r="N44" s="13" t="s">
        <v>108</v>
      </c>
      <c r="O44" s="13" t="s">
        <v>124</v>
      </c>
      <c r="P44" s="13" t="s">
        <v>108</v>
      </c>
      <c r="Q44" s="13" t="s">
        <v>20</v>
      </c>
    </row>
    <row r="45" spans="1:17" ht="45" customHeight="1" x14ac:dyDescent="0.25">
      <c r="A45" s="10">
        <v>43</v>
      </c>
      <c r="B45" s="12" t="s">
        <v>24</v>
      </c>
      <c r="C45" s="10" t="s">
        <v>21</v>
      </c>
      <c r="D45" s="11" t="s">
        <v>22</v>
      </c>
      <c r="E45" s="43" t="s">
        <v>369</v>
      </c>
      <c r="F45" s="43">
        <v>188</v>
      </c>
      <c r="G45" s="12" t="s">
        <v>106</v>
      </c>
      <c r="H45" s="10">
        <v>2023</v>
      </c>
      <c r="I45" s="12" t="s">
        <v>20</v>
      </c>
      <c r="J45" s="12" t="s">
        <v>20</v>
      </c>
      <c r="K45" s="12" t="s">
        <v>20</v>
      </c>
      <c r="L45" s="12" t="s">
        <v>20</v>
      </c>
      <c r="M45" s="13" t="s">
        <v>125</v>
      </c>
      <c r="N45" s="13" t="s">
        <v>108</v>
      </c>
      <c r="O45" s="13" t="s">
        <v>125</v>
      </c>
      <c r="P45" s="13" t="s">
        <v>108</v>
      </c>
      <c r="Q45" s="13" t="s">
        <v>125</v>
      </c>
    </row>
    <row r="46" spans="1:17" ht="45" customHeight="1" x14ac:dyDescent="0.25">
      <c r="A46" s="43">
        <v>44</v>
      </c>
      <c r="B46" s="144" t="s">
        <v>24</v>
      </c>
      <c r="C46" s="43" t="s">
        <v>112</v>
      </c>
      <c r="D46" s="11" t="s">
        <v>113</v>
      </c>
      <c r="E46" s="43" t="s">
        <v>414</v>
      </c>
      <c r="F46" s="130">
        <v>192</v>
      </c>
      <c r="G46" s="12" t="s">
        <v>419</v>
      </c>
      <c r="H46" s="43">
        <v>2023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  <c r="N46" s="12" t="s">
        <v>20</v>
      </c>
      <c r="O46" s="12" t="s">
        <v>20</v>
      </c>
      <c r="P46" s="12" t="s">
        <v>20</v>
      </c>
      <c r="Q46" s="12" t="s">
        <v>20</v>
      </c>
    </row>
    <row r="47" spans="1:17" ht="45" customHeight="1" x14ac:dyDescent="0.25">
      <c r="A47" s="43">
        <v>45</v>
      </c>
      <c r="B47" s="144" t="s">
        <v>24</v>
      </c>
      <c r="C47" s="43" t="s">
        <v>112</v>
      </c>
      <c r="D47" s="11" t="s">
        <v>113</v>
      </c>
      <c r="E47" s="43" t="s">
        <v>415</v>
      </c>
      <c r="F47" s="130">
        <v>193</v>
      </c>
      <c r="G47" s="12" t="s">
        <v>420</v>
      </c>
      <c r="H47" s="43">
        <v>2023</v>
      </c>
      <c r="I47" s="12" t="s">
        <v>20</v>
      </c>
      <c r="J47" s="12" t="s">
        <v>20</v>
      </c>
      <c r="K47" s="12" t="s">
        <v>20</v>
      </c>
      <c r="L47" s="12" t="s">
        <v>20</v>
      </c>
      <c r="M47" s="12" t="s">
        <v>20</v>
      </c>
      <c r="N47" s="12" t="s">
        <v>20</v>
      </c>
      <c r="O47" s="12" t="s">
        <v>20</v>
      </c>
      <c r="P47" s="12" t="s">
        <v>20</v>
      </c>
      <c r="Q47" s="12" t="s">
        <v>20</v>
      </c>
    </row>
    <row r="48" spans="1:17" ht="45" customHeight="1" x14ac:dyDescent="0.25">
      <c r="A48" s="43">
        <v>46</v>
      </c>
      <c r="B48" s="12" t="s">
        <v>24</v>
      </c>
      <c r="C48" s="10" t="s">
        <v>112</v>
      </c>
      <c r="D48" s="11" t="s">
        <v>113</v>
      </c>
      <c r="E48" s="43" t="s">
        <v>410</v>
      </c>
      <c r="F48" s="43">
        <v>194</v>
      </c>
      <c r="G48" s="13" t="s">
        <v>421</v>
      </c>
      <c r="H48" s="10">
        <v>2023</v>
      </c>
      <c r="I48" s="12" t="s">
        <v>20</v>
      </c>
      <c r="J48" s="12" t="s">
        <v>20</v>
      </c>
      <c r="K48" s="12" t="s">
        <v>20</v>
      </c>
      <c r="L48" s="12" t="s">
        <v>20</v>
      </c>
      <c r="M48" s="13" t="s">
        <v>126</v>
      </c>
      <c r="N48" s="13" t="s">
        <v>108</v>
      </c>
      <c r="O48" s="13" t="s">
        <v>126</v>
      </c>
      <c r="P48" s="13" t="s">
        <v>108</v>
      </c>
      <c r="Q48" s="13" t="s">
        <v>20</v>
      </c>
    </row>
    <row r="49" spans="1:17" ht="45" customHeight="1" x14ac:dyDescent="0.25">
      <c r="A49" s="43">
        <v>47</v>
      </c>
      <c r="B49" s="12" t="s">
        <v>24</v>
      </c>
      <c r="C49" s="10" t="s">
        <v>58</v>
      </c>
      <c r="D49" s="11" t="s">
        <v>59</v>
      </c>
      <c r="E49" s="43" t="s">
        <v>375</v>
      </c>
      <c r="F49" s="43">
        <v>190</v>
      </c>
      <c r="G49" s="12" t="s">
        <v>116</v>
      </c>
      <c r="H49" s="10">
        <v>2023</v>
      </c>
      <c r="I49" s="12" t="s">
        <v>20</v>
      </c>
      <c r="J49" s="12" t="s">
        <v>20</v>
      </c>
      <c r="K49" s="12" t="s">
        <v>20</v>
      </c>
      <c r="L49" s="12" t="s">
        <v>20</v>
      </c>
      <c r="M49" s="13" t="s">
        <v>127</v>
      </c>
      <c r="N49" s="13" t="s">
        <v>108</v>
      </c>
      <c r="O49" s="13" t="s">
        <v>127</v>
      </c>
      <c r="P49" s="13" t="s">
        <v>108</v>
      </c>
      <c r="Q49" s="13" t="s">
        <v>127</v>
      </c>
    </row>
    <row r="50" spans="1:17" ht="45" customHeight="1" x14ac:dyDescent="0.25">
      <c r="A50" s="43">
        <v>48</v>
      </c>
      <c r="B50" s="12" t="s">
        <v>24</v>
      </c>
      <c r="C50" s="10" t="s">
        <v>122</v>
      </c>
      <c r="D50" s="11" t="s">
        <v>123</v>
      </c>
      <c r="E50" s="43" t="s">
        <v>371</v>
      </c>
      <c r="F50" s="43">
        <v>196</v>
      </c>
      <c r="G50" s="12" t="s">
        <v>128</v>
      </c>
      <c r="H50" s="10">
        <v>2023</v>
      </c>
      <c r="I50" s="43"/>
      <c r="J50" s="43"/>
      <c r="K50" s="43"/>
      <c r="L50" s="43"/>
      <c r="M50" s="12" t="s">
        <v>20</v>
      </c>
      <c r="N50" s="12" t="s">
        <v>20</v>
      </c>
      <c r="O50" s="12" t="s">
        <v>20</v>
      </c>
      <c r="P50" s="12" t="s">
        <v>20</v>
      </c>
      <c r="Q50" s="12" t="s">
        <v>20</v>
      </c>
    </row>
    <row r="51" spans="1:17" ht="45" customHeight="1" x14ac:dyDescent="0.25">
      <c r="A51" s="43">
        <v>49</v>
      </c>
      <c r="B51" s="12" t="s">
        <v>24</v>
      </c>
      <c r="C51" s="10" t="s">
        <v>129</v>
      </c>
      <c r="D51" s="11" t="s">
        <v>130</v>
      </c>
      <c r="E51" s="43" t="s">
        <v>408</v>
      </c>
      <c r="F51" s="43">
        <v>195</v>
      </c>
      <c r="G51" s="12" t="s">
        <v>106</v>
      </c>
      <c r="H51" s="10">
        <v>2023</v>
      </c>
      <c r="I51" s="12" t="s">
        <v>20</v>
      </c>
      <c r="J51" s="12" t="s">
        <v>20</v>
      </c>
      <c r="K51" s="12" t="s">
        <v>20</v>
      </c>
      <c r="L51" s="12" t="s">
        <v>20</v>
      </c>
      <c r="M51" s="13" t="s">
        <v>131</v>
      </c>
      <c r="N51" s="13" t="s">
        <v>108</v>
      </c>
      <c r="O51" s="13" t="s">
        <v>131</v>
      </c>
      <c r="P51" s="13" t="s">
        <v>108</v>
      </c>
      <c r="Q51" s="13" t="s">
        <v>131</v>
      </c>
    </row>
    <row r="52" spans="1:17" ht="45" customHeight="1" x14ac:dyDescent="0.25">
      <c r="A52" s="43">
        <v>50</v>
      </c>
      <c r="B52" s="12" t="s">
        <v>24</v>
      </c>
      <c r="C52" s="10" t="s">
        <v>29</v>
      </c>
      <c r="D52" s="11" t="s">
        <v>30</v>
      </c>
      <c r="E52" s="43" t="s">
        <v>390</v>
      </c>
      <c r="F52" s="43">
        <v>191</v>
      </c>
      <c r="G52" s="12" t="s">
        <v>106</v>
      </c>
      <c r="H52" s="10">
        <v>2023</v>
      </c>
      <c r="I52" s="12" t="s">
        <v>20</v>
      </c>
      <c r="J52" s="12" t="s">
        <v>20</v>
      </c>
      <c r="K52" s="12" t="s">
        <v>20</v>
      </c>
      <c r="L52" s="12" t="s">
        <v>20</v>
      </c>
      <c r="M52" s="13" t="s">
        <v>132</v>
      </c>
      <c r="N52" s="13" t="s">
        <v>108</v>
      </c>
      <c r="O52" s="13" t="s">
        <v>132</v>
      </c>
      <c r="P52" s="13" t="s">
        <v>108</v>
      </c>
      <c r="Q52" s="13" t="s">
        <v>132</v>
      </c>
    </row>
    <row r="53" spans="1:17" ht="45" customHeight="1" x14ac:dyDescent="0.25">
      <c r="A53" s="43">
        <v>51</v>
      </c>
      <c r="B53" s="142" t="s">
        <v>385</v>
      </c>
      <c r="C53" s="10" t="s">
        <v>29</v>
      </c>
      <c r="D53" s="11" t="s">
        <v>30</v>
      </c>
      <c r="E53" s="43" t="s">
        <v>391</v>
      </c>
      <c r="F53" s="43">
        <v>198</v>
      </c>
      <c r="G53" s="12" t="s">
        <v>133</v>
      </c>
      <c r="H53" s="10">
        <v>2023</v>
      </c>
      <c r="I53" s="12" t="s">
        <v>20</v>
      </c>
      <c r="J53" s="12" t="s">
        <v>20</v>
      </c>
      <c r="K53" s="12" t="s">
        <v>20</v>
      </c>
      <c r="L53" s="12" t="s">
        <v>20</v>
      </c>
      <c r="M53" s="13" t="s">
        <v>134</v>
      </c>
      <c r="N53" s="13" t="s">
        <v>108</v>
      </c>
      <c r="O53" s="13" t="s">
        <v>134</v>
      </c>
      <c r="P53" s="13" t="s">
        <v>108</v>
      </c>
      <c r="Q53" s="13" t="s">
        <v>134</v>
      </c>
    </row>
    <row r="54" spans="1:17" ht="45" customHeight="1" x14ac:dyDescent="0.25">
      <c r="A54" s="43">
        <v>52</v>
      </c>
      <c r="B54" s="12" t="s">
        <v>24</v>
      </c>
      <c r="C54" s="10" t="s">
        <v>29</v>
      </c>
      <c r="D54" s="11" t="s">
        <v>30</v>
      </c>
      <c r="E54" s="12" t="s">
        <v>135</v>
      </c>
      <c r="F54" s="12">
        <v>200</v>
      </c>
      <c r="G54" s="12" t="s">
        <v>289</v>
      </c>
      <c r="H54" s="10">
        <v>2024</v>
      </c>
      <c r="I54" s="12" t="s">
        <v>20</v>
      </c>
      <c r="J54" s="12" t="s">
        <v>20</v>
      </c>
      <c r="K54" s="12" t="s">
        <v>20</v>
      </c>
      <c r="L54" s="12" t="s">
        <v>20</v>
      </c>
      <c r="M54" s="13" t="s">
        <v>136</v>
      </c>
      <c r="N54" s="13" t="s">
        <v>108</v>
      </c>
      <c r="O54" s="13" t="s">
        <v>136</v>
      </c>
      <c r="P54" s="13" t="s">
        <v>108</v>
      </c>
      <c r="Q54" s="13" t="s">
        <v>136</v>
      </c>
    </row>
    <row r="55" spans="1:17" ht="45" customHeight="1" x14ac:dyDescent="0.25">
      <c r="A55" s="43">
        <v>53</v>
      </c>
      <c r="B55" s="12" t="s">
        <v>24</v>
      </c>
      <c r="C55" s="10" t="s">
        <v>29</v>
      </c>
      <c r="D55" s="11" t="s">
        <v>30</v>
      </c>
      <c r="E55" s="12" t="s">
        <v>137</v>
      </c>
      <c r="F55" s="12">
        <v>201</v>
      </c>
      <c r="G55" s="12" t="s">
        <v>290</v>
      </c>
      <c r="H55" s="10">
        <v>2024</v>
      </c>
      <c r="I55" s="12" t="s">
        <v>20</v>
      </c>
      <c r="J55" s="12" t="s">
        <v>20</v>
      </c>
      <c r="K55" s="12" t="s">
        <v>20</v>
      </c>
      <c r="L55" s="12" t="s">
        <v>20</v>
      </c>
      <c r="M55" s="12" t="s">
        <v>138</v>
      </c>
      <c r="N55" s="13" t="s">
        <v>139</v>
      </c>
      <c r="O55" s="12" t="s">
        <v>138</v>
      </c>
      <c r="P55" s="13" t="s">
        <v>139</v>
      </c>
      <c r="Q55" s="13" t="s">
        <v>138</v>
      </c>
    </row>
    <row r="56" spans="1:17" ht="45" customHeight="1" x14ac:dyDescent="0.25">
      <c r="A56" s="43">
        <v>54</v>
      </c>
      <c r="B56" s="12" t="s">
        <v>24</v>
      </c>
      <c r="C56" s="10" t="s">
        <v>29</v>
      </c>
      <c r="D56" s="11" t="s">
        <v>30</v>
      </c>
      <c r="E56" s="12" t="s">
        <v>140</v>
      </c>
      <c r="F56" s="12">
        <v>208</v>
      </c>
      <c r="G56" s="12" t="s">
        <v>291</v>
      </c>
      <c r="H56" s="10">
        <v>2024</v>
      </c>
      <c r="I56" s="12" t="s">
        <v>20</v>
      </c>
      <c r="J56" s="12" t="s">
        <v>20</v>
      </c>
      <c r="K56" s="12" t="s">
        <v>20</v>
      </c>
      <c r="L56" s="12" t="s">
        <v>20</v>
      </c>
      <c r="M56" s="12" t="s">
        <v>141</v>
      </c>
      <c r="N56" s="13" t="s">
        <v>139</v>
      </c>
      <c r="O56" s="12" t="s">
        <v>141</v>
      </c>
      <c r="P56" s="13" t="s">
        <v>139</v>
      </c>
      <c r="Q56" s="13" t="s">
        <v>141</v>
      </c>
    </row>
    <row r="57" spans="1:17" ht="45" customHeight="1" x14ac:dyDescent="0.25">
      <c r="A57" s="43">
        <v>55</v>
      </c>
      <c r="B57" s="12" t="s">
        <v>24</v>
      </c>
      <c r="C57" s="10" t="s">
        <v>29</v>
      </c>
      <c r="D57" s="11" t="s">
        <v>30</v>
      </c>
      <c r="E57" s="12" t="s">
        <v>142</v>
      </c>
      <c r="F57" s="12">
        <v>209</v>
      </c>
      <c r="G57" s="12" t="s">
        <v>292</v>
      </c>
      <c r="H57" s="10">
        <v>2024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143</v>
      </c>
      <c r="N57" s="13" t="s">
        <v>139</v>
      </c>
      <c r="O57" s="12" t="s">
        <v>143</v>
      </c>
      <c r="P57" s="13" t="s">
        <v>139</v>
      </c>
      <c r="Q57" s="13" t="s">
        <v>143</v>
      </c>
    </row>
    <row r="58" spans="1:17" ht="45" customHeight="1" x14ac:dyDescent="0.25">
      <c r="A58" s="43">
        <v>56</v>
      </c>
      <c r="B58" s="12" t="s">
        <v>24</v>
      </c>
      <c r="C58" s="10" t="s">
        <v>42</v>
      </c>
      <c r="D58" s="11" t="s">
        <v>43</v>
      </c>
      <c r="E58" s="43" t="s">
        <v>318</v>
      </c>
      <c r="F58" s="43">
        <v>205</v>
      </c>
      <c r="G58" s="12" t="s">
        <v>286</v>
      </c>
      <c r="H58" s="10">
        <v>2024</v>
      </c>
      <c r="I58" s="12" t="s">
        <v>20</v>
      </c>
      <c r="J58" s="12" t="s">
        <v>20</v>
      </c>
      <c r="K58" s="12" t="s">
        <v>20</v>
      </c>
      <c r="L58" s="12" t="s">
        <v>20</v>
      </c>
      <c r="M58" s="12" t="s">
        <v>144</v>
      </c>
      <c r="N58" s="13" t="s">
        <v>145</v>
      </c>
      <c r="O58" s="12" t="s">
        <v>144</v>
      </c>
      <c r="P58" s="13" t="s">
        <v>145</v>
      </c>
      <c r="Q58" s="12" t="s">
        <v>144</v>
      </c>
    </row>
    <row r="59" spans="1:17" ht="45" customHeight="1" x14ac:dyDescent="0.25">
      <c r="A59" s="43">
        <v>57</v>
      </c>
      <c r="B59" s="12" t="s">
        <v>24</v>
      </c>
      <c r="C59" s="10" t="s">
        <v>21</v>
      </c>
      <c r="D59" s="11" t="s">
        <v>22</v>
      </c>
      <c r="E59" s="43" t="s">
        <v>319</v>
      </c>
      <c r="F59" s="43">
        <v>210</v>
      </c>
      <c r="G59" s="12" t="s">
        <v>293</v>
      </c>
      <c r="H59" s="10">
        <v>2024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146</v>
      </c>
      <c r="N59" s="13" t="s">
        <v>145</v>
      </c>
      <c r="O59" s="12" t="s">
        <v>146</v>
      </c>
      <c r="P59" s="13" t="s">
        <v>145</v>
      </c>
      <c r="Q59" s="13" t="s">
        <v>146</v>
      </c>
    </row>
    <row r="60" spans="1:17" ht="45" customHeight="1" x14ac:dyDescent="0.25">
      <c r="A60" s="43">
        <v>58</v>
      </c>
      <c r="B60" s="12" t="s">
        <v>24</v>
      </c>
      <c r="C60" s="10" t="s">
        <v>65</v>
      </c>
      <c r="D60" s="11" t="s">
        <v>66</v>
      </c>
      <c r="E60" s="43" t="s">
        <v>320</v>
      </c>
      <c r="F60" s="43">
        <v>207</v>
      </c>
      <c r="G60" s="12" t="s">
        <v>294</v>
      </c>
      <c r="H60" s="10">
        <v>2024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147</v>
      </c>
      <c r="N60" s="13" t="s">
        <v>145</v>
      </c>
      <c r="O60" s="12" t="s">
        <v>147</v>
      </c>
      <c r="P60" s="13" t="s">
        <v>145</v>
      </c>
      <c r="Q60" s="13" t="s">
        <v>147</v>
      </c>
    </row>
    <row r="61" spans="1:17" ht="45" customHeight="1" x14ac:dyDescent="0.25">
      <c r="A61" s="43">
        <v>59</v>
      </c>
      <c r="B61" s="12" t="s">
        <v>24</v>
      </c>
      <c r="C61" s="10" t="s">
        <v>29</v>
      </c>
      <c r="D61" s="11" t="s">
        <v>30</v>
      </c>
      <c r="E61" s="12" t="s">
        <v>148</v>
      </c>
      <c r="F61" s="12">
        <v>204</v>
      </c>
      <c r="G61" s="13" t="s">
        <v>295</v>
      </c>
      <c r="H61" s="10">
        <v>2024</v>
      </c>
      <c r="I61" s="12" t="s">
        <v>20</v>
      </c>
      <c r="J61" s="12" t="s">
        <v>20</v>
      </c>
      <c r="K61" s="12" t="s">
        <v>20</v>
      </c>
      <c r="L61" s="12" t="s">
        <v>20</v>
      </c>
      <c r="M61" s="12" t="s">
        <v>149</v>
      </c>
      <c r="N61" s="13" t="s">
        <v>150</v>
      </c>
      <c r="O61" s="12" t="s">
        <v>149</v>
      </c>
      <c r="P61" s="13" t="s">
        <v>150</v>
      </c>
      <c r="Q61" s="13" t="s">
        <v>149</v>
      </c>
    </row>
    <row r="62" spans="1:17" ht="45" customHeight="1" x14ac:dyDescent="0.25">
      <c r="A62" s="43">
        <v>60</v>
      </c>
      <c r="B62" s="12" t="s">
        <v>24</v>
      </c>
      <c r="C62" s="10" t="s">
        <v>29</v>
      </c>
      <c r="D62" s="11" t="s">
        <v>30</v>
      </c>
      <c r="E62" s="12" t="s">
        <v>151</v>
      </c>
      <c r="F62" s="12">
        <v>213</v>
      </c>
      <c r="G62" s="13" t="s">
        <v>287</v>
      </c>
      <c r="H62" s="10">
        <v>2024</v>
      </c>
      <c r="I62" s="12" t="s">
        <v>20</v>
      </c>
      <c r="J62" s="12" t="s">
        <v>20</v>
      </c>
      <c r="K62" s="12" t="s">
        <v>20</v>
      </c>
      <c r="L62" s="12" t="s">
        <v>20</v>
      </c>
      <c r="M62" s="12" t="s">
        <v>152</v>
      </c>
      <c r="N62" s="13" t="s">
        <v>150</v>
      </c>
      <c r="O62" s="12" t="s">
        <v>152</v>
      </c>
      <c r="P62" s="13" t="s">
        <v>150</v>
      </c>
      <c r="Q62" s="13" t="s">
        <v>152</v>
      </c>
    </row>
    <row r="63" spans="1:17" ht="45" customHeight="1" x14ac:dyDescent="0.25">
      <c r="A63" s="43">
        <v>61</v>
      </c>
      <c r="B63" s="12" t="s">
        <v>24</v>
      </c>
      <c r="C63" s="10" t="s">
        <v>29</v>
      </c>
      <c r="D63" s="11" t="s">
        <v>30</v>
      </c>
      <c r="E63" s="12" t="s">
        <v>153</v>
      </c>
      <c r="F63" s="12">
        <v>212</v>
      </c>
      <c r="G63" s="13" t="s">
        <v>296</v>
      </c>
      <c r="H63" s="10">
        <v>2024</v>
      </c>
      <c r="I63" s="12" t="s">
        <v>20</v>
      </c>
      <c r="J63" s="12" t="s">
        <v>20</v>
      </c>
      <c r="K63" s="12" t="s">
        <v>20</v>
      </c>
      <c r="L63" s="12" t="s">
        <v>20</v>
      </c>
      <c r="M63" s="12" t="s">
        <v>154</v>
      </c>
      <c r="N63" s="13" t="s">
        <v>150</v>
      </c>
      <c r="O63" s="12" t="s">
        <v>154</v>
      </c>
      <c r="P63" s="13" t="s">
        <v>150</v>
      </c>
      <c r="Q63" s="13" t="s">
        <v>154</v>
      </c>
    </row>
    <row r="64" spans="1:17" ht="45" customHeight="1" x14ac:dyDescent="0.25">
      <c r="A64" s="43">
        <v>62</v>
      </c>
      <c r="B64" s="12" t="s">
        <v>24</v>
      </c>
      <c r="C64" s="10" t="s">
        <v>21</v>
      </c>
      <c r="D64" s="11" t="s">
        <v>22</v>
      </c>
      <c r="E64" s="43" t="s">
        <v>322</v>
      </c>
      <c r="F64" s="43">
        <v>216</v>
      </c>
      <c r="G64" s="12" t="s">
        <v>297</v>
      </c>
      <c r="H64" s="10">
        <v>2024</v>
      </c>
      <c r="I64" s="12" t="s">
        <v>20</v>
      </c>
      <c r="J64" s="12" t="s">
        <v>20</v>
      </c>
      <c r="K64" s="12" t="s">
        <v>20</v>
      </c>
      <c r="L64" s="12" t="s">
        <v>20</v>
      </c>
      <c r="M64" s="12" t="s">
        <v>155</v>
      </c>
      <c r="N64" s="13" t="s">
        <v>150</v>
      </c>
      <c r="O64" s="12" t="s">
        <v>155</v>
      </c>
      <c r="P64" s="13" t="s">
        <v>150</v>
      </c>
      <c r="Q64" s="13" t="s">
        <v>155</v>
      </c>
    </row>
    <row r="65" spans="1:17" ht="45" customHeight="1" x14ac:dyDescent="0.25">
      <c r="A65" s="43">
        <v>63</v>
      </c>
      <c r="B65" s="142" t="s">
        <v>407</v>
      </c>
      <c r="C65" s="10" t="s">
        <v>118</v>
      </c>
      <c r="D65" s="11" t="s">
        <v>119</v>
      </c>
      <c r="E65" s="43" t="s">
        <v>323</v>
      </c>
      <c r="F65" s="43">
        <v>206</v>
      </c>
      <c r="G65" s="12" t="s">
        <v>294</v>
      </c>
      <c r="H65" s="10">
        <v>2024</v>
      </c>
      <c r="I65" s="12" t="s">
        <v>20</v>
      </c>
      <c r="J65" s="12" t="s">
        <v>20</v>
      </c>
      <c r="K65" s="12" t="s">
        <v>20</v>
      </c>
      <c r="L65" s="12" t="s">
        <v>20</v>
      </c>
      <c r="M65" s="12" t="s">
        <v>156</v>
      </c>
      <c r="N65" s="13" t="s">
        <v>157</v>
      </c>
      <c r="O65" s="12" t="s">
        <v>156</v>
      </c>
      <c r="P65" s="13" t="s">
        <v>157</v>
      </c>
      <c r="Q65" s="13" t="s">
        <v>20</v>
      </c>
    </row>
    <row r="66" spans="1:17" ht="45" customHeight="1" x14ac:dyDescent="0.25">
      <c r="A66" s="43">
        <v>64</v>
      </c>
      <c r="B66" s="12" t="s">
        <v>24</v>
      </c>
      <c r="C66" s="10" t="s">
        <v>158</v>
      </c>
      <c r="D66" s="11" t="s">
        <v>159</v>
      </c>
      <c r="E66" s="43" t="s">
        <v>422</v>
      </c>
      <c r="F66" s="43">
        <v>211</v>
      </c>
      <c r="G66" s="12" t="s">
        <v>298</v>
      </c>
      <c r="H66" s="10">
        <v>2024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160</v>
      </c>
      <c r="N66" s="13" t="s">
        <v>161</v>
      </c>
      <c r="O66" s="12" t="s">
        <v>160</v>
      </c>
      <c r="P66" s="13" t="s">
        <v>161</v>
      </c>
      <c r="Q66" s="13" t="s">
        <v>160</v>
      </c>
    </row>
    <row r="67" spans="1:17" ht="45" customHeight="1" x14ac:dyDescent="0.25">
      <c r="A67" s="43">
        <v>65</v>
      </c>
      <c r="B67" s="12" t="s">
        <v>24</v>
      </c>
      <c r="C67" s="10" t="s">
        <v>29</v>
      </c>
      <c r="D67" s="11" t="s">
        <v>30</v>
      </c>
      <c r="E67" s="12" t="s">
        <v>162</v>
      </c>
      <c r="F67" s="12">
        <v>218</v>
      </c>
      <c r="G67" s="13" t="s">
        <v>299</v>
      </c>
      <c r="H67" s="10">
        <v>2024</v>
      </c>
      <c r="I67" s="12" t="s">
        <v>20</v>
      </c>
      <c r="J67" s="12" t="s">
        <v>20</v>
      </c>
      <c r="K67" s="12" t="s">
        <v>20</v>
      </c>
      <c r="L67" s="12" t="s">
        <v>20</v>
      </c>
      <c r="M67" s="12" t="s">
        <v>163</v>
      </c>
      <c r="N67" s="13" t="s">
        <v>150</v>
      </c>
      <c r="O67" s="12" t="s">
        <v>163</v>
      </c>
      <c r="P67" s="13" t="s">
        <v>150</v>
      </c>
      <c r="Q67" s="13" t="s">
        <v>163</v>
      </c>
    </row>
    <row r="68" spans="1:17" ht="45" customHeight="1" x14ac:dyDescent="0.25">
      <c r="A68" s="43">
        <v>66</v>
      </c>
      <c r="B68" s="12" t="s">
        <v>24</v>
      </c>
      <c r="C68" s="10" t="s">
        <v>42</v>
      </c>
      <c r="D68" s="11" t="s">
        <v>43</v>
      </c>
      <c r="E68" s="43" t="s">
        <v>325</v>
      </c>
      <c r="F68" s="43">
        <v>217</v>
      </c>
      <c r="G68" s="12" t="s">
        <v>300</v>
      </c>
      <c r="H68" s="10">
        <v>2024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164</v>
      </c>
      <c r="N68" s="13" t="s">
        <v>165</v>
      </c>
      <c r="O68" s="12" t="s">
        <v>164</v>
      </c>
      <c r="P68" s="13" t="s">
        <v>165</v>
      </c>
      <c r="Q68" s="13" t="s">
        <v>164</v>
      </c>
    </row>
    <row r="69" spans="1:17" ht="45" customHeight="1" x14ac:dyDescent="0.25">
      <c r="A69" s="43">
        <v>67</v>
      </c>
      <c r="B69" s="12" t="s">
        <v>24</v>
      </c>
      <c r="C69" s="10" t="s">
        <v>29</v>
      </c>
      <c r="D69" s="11" t="s">
        <v>30</v>
      </c>
      <c r="E69" s="12" t="s">
        <v>166</v>
      </c>
      <c r="F69" s="12">
        <v>215</v>
      </c>
      <c r="G69" s="13" t="s">
        <v>301</v>
      </c>
      <c r="H69" s="10">
        <v>2024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167</v>
      </c>
      <c r="N69" s="13" t="s">
        <v>150</v>
      </c>
      <c r="O69" s="12" t="s">
        <v>167</v>
      </c>
      <c r="P69" s="13" t="s">
        <v>150</v>
      </c>
      <c r="Q69" s="13" t="s">
        <v>167</v>
      </c>
    </row>
    <row r="70" spans="1:17" ht="45" customHeight="1" x14ac:dyDescent="0.25">
      <c r="A70" s="43">
        <v>68</v>
      </c>
      <c r="B70" s="12" t="s">
        <v>24</v>
      </c>
      <c r="C70" s="10" t="s">
        <v>122</v>
      </c>
      <c r="D70" s="11" t="s">
        <v>123</v>
      </c>
      <c r="E70" s="43" t="s">
        <v>327</v>
      </c>
      <c r="F70" s="43">
        <v>219</v>
      </c>
      <c r="G70" s="12" t="s">
        <v>302</v>
      </c>
      <c r="H70" s="10">
        <v>2024</v>
      </c>
      <c r="I70" s="43"/>
      <c r="J70" s="43"/>
      <c r="K70" s="43"/>
      <c r="L70" s="43"/>
      <c r="M70" s="43" t="s">
        <v>426</v>
      </c>
      <c r="N70" s="13" t="s">
        <v>447</v>
      </c>
      <c r="O70" s="43" t="s">
        <v>426</v>
      </c>
      <c r="P70" s="13" t="s">
        <v>447</v>
      </c>
      <c r="Q70" s="13" t="s">
        <v>426</v>
      </c>
    </row>
    <row r="71" spans="1:17" ht="45" customHeight="1" x14ac:dyDescent="0.25">
      <c r="A71" s="43">
        <v>69</v>
      </c>
      <c r="B71" s="12" t="s">
        <v>24</v>
      </c>
      <c r="C71" s="10" t="s">
        <v>29</v>
      </c>
      <c r="D71" s="11" t="s">
        <v>30</v>
      </c>
      <c r="E71" s="12" t="s">
        <v>168</v>
      </c>
      <c r="F71" s="12">
        <v>220</v>
      </c>
      <c r="G71" s="13" t="s">
        <v>303</v>
      </c>
      <c r="H71" s="10">
        <v>2024</v>
      </c>
      <c r="I71" s="12" t="s">
        <v>20</v>
      </c>
      <c r="J71" s="12" t="s">
        <v>20</v>
      </c>
      <c r="K71" s="12" t="s">
        <v>20</v>
      </c>
      <c r="L71" s="12" t="s">
        <v>20</v>
      </c>
      <c r="M71" s="12" t="s">
        <v>169</v>
      </c>
      <c r="N71" s="13" t="s">
        <v>170</v>
      </c>
      <c r="O71" s="12" t="s">
        <v>169</v>
      </c>
      <c r="P71" s="13" t="s">
        <v>170</v>
      </c>
      <c r="Q71" s="13" t="s">
        <v>169</v>
      </c>
    </row>
    <row r="72" spans="1:17" ht="45" customHeight="1" x14ac:dyDescent="0.25">
      <c r="A72" s="43">
        <v>70</v>
      </c>
      <c r="B72" s="12" t="s">
        <v>24</v>
      </c>
      <c r="C72" s="10" t="s">
        <v>29</v>
      </c>
      <c r="D72" s="11" t="s">
        <v>30</v>
      </c>
      <c r="E72" s="12" t="s">
        <v>171</v>
      </c>
      <c r="F72" s="12">
        <v>224</v>
      </c>
      <c r="G72" s="13" t="s">
        <v>304</v>
      </c>
      <c r="H72" s="10">
        <v>2024</v>
      </c>
      <c r="I72" s="12" t="s">
        <v>20</v>
      </c>
      <c r="J72" s="12" t="s">
        <v>20</v>
      </c>
      <c r="K72" s="12" t="s">
        <v>20</v>
      </c>
      <c r="L72" s="12" t="s">
        <v>20</v>
      </c>
      <c r="M72" s="12" t="s">
        <v>172</v>
      </c>
      <c r="N72" s="13" t="s">
        <v>170</v>
      </c>
      <c r="O72" s="12" t="s">
        <v>172</v>
      </c>
      <c r="P72" s="13" t="s">
        <v>170</v>
      </c>
      <c r="Q72" s="13" t="s">
        <v>172</v>
      </c>
    </row>
    <row r="73" spans="1:17" ht="45" customHeight="1" x14ac:dyDescent="0.25">
      <c r="A73" s="43">
        <v>71</v>
      </c>
      <c r="B73" s="12" t="s">
        <v>24</v>
      </c>
      <c r="C73" s="10" t="s">
        <v>29</v>
      </c>
      <c r="D73" s="11" t="s">
        <v>30</v>
      </c>
      <c r="E73" s="12" t="s">
        <v>173</v>
      </c>
      <c r="F73" s="12">
        <v>221</v>
      </c>
      <c r="G73" s="12" t="s">
        <v>305</v>
      </c>
      <c r="H73" s="10">
        <v>2024</v>
      </c>
      <c r="I73" s="12" t="s">
        <v>20</v>
      </c>
      <c r="J73" s="12" t="s">
        <v>20</v>
      </c>
      <c r="K73" s="12" t="s">
        <v>20</v>
      </c>
      <c r="L73" s="12" t="s">
        <v>20</v>
      </c>
      <c r="M73" s="12" t="s">
        <v>174</v>
      </c>
      <c r="N73" s="13" t="s">
        <v>175</v>
      </c>
      <c r="O73" s="12" t="s">
        <v>174</v>
      </c>
      <c r="P73" s="13" t="s">
        <v>175</v>
      </c>
      <c r="Q73" s="13" t="s">
        <v>174</v>
      </c>
    </row>
    <row r="74" spans="1:17" ht="45" customHeight="1" x14ac:dyDescent="0.25">
      <c r="A74" s="43">
        <v>72</v>
      </c>
      <c r="B74" s="12" t="s">
        <v>24</v>
      </c>
      <c r="C74" s="10" t="s">
        <v>29</v>
      </c>
      <c r="D74" s="11" t="s">
        <v>30</v>
      </c>
      <c r="E74" s="12" t="s">
        <v>176</v>
      </c>
      <c r="F74" s="12">
        <v>225</v>
      </c>
      <c r="G74" s="13" t="s">
        <v>306</v>
      </c>
      <c r="H74" s="10">
        <v>2024</v>
      </c>
      <c r="I74" s="12" t="s">
        <v>20</v>
      </c>
      <c r="J74" s="12" t="s">
        <v>20</v>
      </c>
      <c r="K74" s="12" t="s">
        <v>20</v>
      </c>
      <c r="L74" s="12" t="s">
        <v>20</v>
      </c>
      <c r="M74" s="12" t="s">
        <v>177</v>
      </c>
      <c r="N74" s="13" t="s">
        <v>178</v>
      </c>
      <c r="O74" s="12" t="s">
        <v>177</v>
      </c>
      <c r="P74" s="13" t="s">
        <v>178</v>
      </c>
      <c r="Q74" s="13" t="s">
        <v>177</v>
      </c>
    </row>
    <row r="75" spans="1:17" ht="45" customHeight="1" x14ac:dyDescent="0.25">
      <c r="A75" s="43">
        <v>73</v>
      </c>
      <c r="B75" s="12" t="s">
        <v>24</v>
      </c>
      <c r="C75" s="10" t="s">
        <v>179</v>
      </c>
      <c r="D75" s="11" t="s">
        <v>180</v>
      </c>
      <c r="E75" s="43" t="s">
        <v>423</v>
      </c>
      <c r="F75" s="43">
        <v>228</v>
      </c>
      <c r="G75" s="13" t="s">
        <v>294</v>
      </c>
      <c r="H75" s="10">
        <v>2024</v>
      </c>
      <c r="I75" s="12" t="s">
        <v>20</v>
      </c>
      <c r="J75" s="12" t="s">
        <v>20</v>
      </c>
      <c r="K75" s="12" t="s">
        <v>20</v>
      </c>
      <c r="L75" s="12" t="s">
        <v>20</v>
      </c>
      <c r="M75" s="12" t="s">
        <v>181</v>
      </c>
      <c r="N75" s="13" t="s">
        <v>182</v>
      </c>
      <c r="O75" s="12" t="s">
        <v>181</v>
      </c>
      <c r="P75" s="13" t="s">
        <v>182</v>
      </c>
      <c r="Q75" s="13" t="s">
        <v>181</v>
      </c>
    </row>
    <row r="76" spans="1:17" ht="45" customHeight="1" x14ac:dyDescent="0.25">
      <c r="A76" s="43">
        <v>74</v>
      </c>
      <c r="B76" s="12" t="s">
        <v>24</v>
      </c>
      <c r="C76" s="10" t="s">
        <v>29</v>
      </c>
      <c r="D76" s="11" t="s">
        <v>30</v>
      </c>
      <c r="E76" s="12" t="s">
        <v>183</v>
      </c>
      <c r="F76" s="12">
        <v>226</v>
      </c>
      <c r="G76" s="13" t="s">
        <v>307</v>
      </c>
      <c r="H76" s="10">
        <v>2024</v>
      </c>
      <c r="I76" s="12" t="s">
        <v>20</v>
      </c>
      <c r="J76" s="12" t="s">
        <v>20</v>
      </c>
      <c r="K76" s="12" t="s">
        <v>20</v>
      </c>
      <c r="L76" s="12" t="s">
        <v>20</v>
      </c>
      <c r="M76" s="12" t="s">
        <v>184</v>
      </c>
      <c r="N76" s="13" t="s">
        <v>178</v>
      </c>
      <c r="O76" s="12" t="s">
        <v>184</v>
      </c>
      <c r="P76" s="13" t="s">
        <v>178</v>
      </c>
      <c r="Q76" s="13" t="s">
        <v>184</v>
      </c>
    </row>
    <row r="77" spans="1:17" ht="45" customHeight="1" x14ac:dyDescent="0.25">
      <c r="A77" s="43">
        <v>75</v>
      </c>
      <c r="B77" s="12" t="s">
        <v>24</v>
      </c>
      <c r="C77" s="10" t="s">
        <v>29</v>
      </c>
      <c r="D77" s="11" t="s">
        <v>30</v>
      </c>
      <c r="E77" s="12" t="s">
        <v>185</v>
      </c>
      <c r="F77" s="12">
        <v>229</v>
      </c>
      <c r="G77" s="13" t="s">
        <v>308</v>
      </c>
      <c r="H77" s="10">
        <v>2024</v>
      </c>
      <c r="I77" s="12" t="s">
        <v>20</v>
      </c>
      <c r="J77" s="12" t="s">
        <v>20</v>
      </c>
      <c r="K77" s="12" t="s">
        <v>20</v>
      </c>
      <c r="L77" s="12" t="s">
        <v>20</v>
      </c>
      <c r="M77" s="12" t="s">
        <v>186</v>
      </c>
      <c r="N77" s="13" t="s">
        <v>187</v>
      </c>
      <c r="O77" s="12" t="s">
        <v>186</v>
      </c>
      <c r="P77" s="13" t="s">
        <v>187</v>
      </c>
      <c r="Q77" s="13" t="s">
        <v>186</v>
      </c>
    </row>
    <row r="78" spans="1:17" ht="45" customHeight="1" x14ac:dyDescent="0.25">
      <c r="A78" s="43">
        <v>76</v>
      </c>
      <c r="B78" s="12" t="s">
        <v>24</v>
      </c>
      <c r="C78" s="10" t="s">
        <v>188</v>
      </c>
      <c r="D78" s="11" t="s">
        <v>189</v>
      </c>
      <c r="E78" s="43" t="s">
        <v>328</v>
      </c>
      <c r="F78" s="43">
        <v>227</v>
      </c>
      <c r="G78" s="13" t="s">
        <v>309</v>
      </c>
      <c r="H78" s="10">
        <v>2024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190</v>
      </c>
      <c r="N78" s="13" t="s">
        <v>170</v>
      </c>
      <c r="O78" s="12" t="s">
        <v>190</v>
      </c>
      <c r="P78" s="13" t="s">
        <v>170</v>
      </c>
      <c r="Q78" s="13" t="s">
        <v>190</v>
      </c>
    </row>
    <row r="79" spans="1:17" ht="45" customHeight="1" x14ac:dyDescent="0.25">
      <c r="A79" s="43">
        <v>77</v>
      </c>
      <c r="B79" s="142" t="s">
        <v>385</v>
      </c>
      <c r="C79" s="10" t="s">
        <v>29</v>
      </c>
      <c r="D79" s="11" t="s">
        <v>30</v>
      </c>
      <c r="E79" s="12" t="s">
        <v>191</v>
      </c>
      <c r="F79" s="12">
        <v>223</v>
      </c>
      <c r="G79" s="13" t="s">
        <v>310</v>
      </c>
      <c r="H79" s="10">
        <v>2024</v>
      </c>
      <c r="I79" s="12" t="s">
        <v>20</v>
      </c>
      <c r="J79" s="12" t="s">
        <v>20</v>
      </c>
      <c r="K79" s="12" t="s">
        <v>20</v>
      </c>
      <c r="L79" s="12" t="s">
        <v>20</v>
      </c>
      <c r="M79" s="12" t="s">
        <v>192</v>
      </c>
      <c r="N79" s="13" t="s">
        <v>182</v>
      </c>
      <c r="O79" s="12" t="s">
        <v>192</v>
      </c>
      <c r="P79" s="13" t="s">
        <v>182</v>
      </c>
      <c r="Q79" s="13" t="s">
        <v>192</v>
      </c>
    </row>
    <row r="80" spans="1:17" ht="45" customHeight="1" x14ac:dyDescent="0.25">
      <c r="A80" s="43">
        <v>78</v>
      </c>
      <c r="B80" s="12" t="s">
        <v>24</v>
      </c>
      <c r="C80" s="10" t="s">
        <v>193</v>
      </c>
      <c r="D80" s="11" t="s">
        <v>194</v>
      </c>
      <c r="E80" s="43" t="s">
        <v>245</v>
      </c>
      <c r="F80" s="43">
        <v>231</v>
      </c>
      <c r="G80" s="13" t="s">
        <v>294</v>
      </c>
      <c r="H80" s="10">
        <v>2024</v>
      </c>
      <c r="I80" s="43"/>
      <c r="J80" s="43"/>
      <c r="K80" s="43"/>
      <c r="L80" s="43"/>
      <c r="M80" s="12" t="s">
        <v>20</v>
      </c>
      <c r="N80" s="12" t="s">
        <v>20</v>
      </c>
      <c r="O80" s="12" t="s">
        <v>20</v>
      </c>
      <c r="P80" s="12" t="s">
        <v>20</v>
      </c>
      <c r="Q80" s="12" t="s">
        <v>20</v>
      </c>
    </row>
    <row r="81" spans="1:17" ht="45" customHeight="1" x14ac:dyDescent="0.25">
      <c r="A81" s="43">
        <v>79</v>
      </c>
      <c r="B81" s="12" t="s">
        <v>24</v>
      </c>
      <c r="C81" s="10" t="s">
        <v>29</v>
      </c>
      <c r="D81" s="11" t="s">
        <v>30</v>
      </c>
      <c r="E81" s="12" t="s">
        <v>195</v>
      </c>
      <c r="F81" s="12">
        <v>230</v>
      </c>
      <c r="G81" s="13" t="s">
        <v>311</v>
      </c>
      <c r="H81" s="10">
        <v>2024</v>
      </c>
      <c r="I81" s="12" t="s">
        <v>20</v>
      </c>
      <c r="J81" s="12" t="s">
        <v>20</v>
      </c>
      <c r="K81" s="12" t="s">
        <v>20</v>
      </c>
      <c r="L81" s="12" t="s">
        <v>20</v>
      </c>
      <c r="M81" s="12" t="s">
        <v>196</v>
      </c>
      <c r="N81" s="13" t="s">
        <v>182</v>
      </c>
      <c r="O81" s="12" t="s">
        <v>196</v>
      </c>
      <c r="P81" s="13" t="s">
        <v>182</v>
      </c>
      <c r="Q81" s="13" t="s">
        <v>196</v>
      </c>
    </row>
    <row r="82" spans="1:17" ht="45" customHeight="1" x14ac:dyDescent="0.25">
      <c r="A82" s="43">
        <v>80</v>
      </c>
      <c r="B82" s="12" t="s">
        <v>24</v>
      </c>
      <c r="C82" s="10" t="s">
        <v>29</v>
      </c>
      <c r="D82" s="11" t="s">
        <v>30</v>
      </c>
      <c r="E82" s="12" t="s">
        <v>197</v>
      </c>
      <c r="F82" s="12">
        <v>232</v>
      </c>
      <c r="G82" s="13" t="s">
        <v>312</v>
      </c>
      <c r="H82" s="10">
        <v>2024</v>
      </c>
      <c r="I82" s="12" t="s">
        <v>20</v>
      </c>
      <c r="J82" s="12" t="s">
        <v>20</v>
      </c>
      <c r="K82" s="12" t="s">
        <v>20</v>
      </c>
      <c r="L82" s="12" t="s">
        <v>20</v>
      </c>
      <c r="M82" s="12" t="s">
        <v>198</v>
      </c>
      <c r="N82" s="13" t="s">
        <v>199</v>
      </c>
      <c r="O82" s="12" t="s">
        <v>198</v>
      </c>
      <c r="P82" s="13" t="s">
        <v>199</v>
      </c>
      <c r="Q82" s="13" t="s">
        <v>198</v>
      </c>
    </row>
    <row r="83" spans="1:17" ht="45" customHeight="1" x14ac:dyDescent="0.25">
      <c r="A83" s="43">
        <v>81</v>
      </c>
      <c r="B83" s="12" t="s">
        <v>24</v>
      </c>
      <c r="C83" s="10" t="s">
        <v>188</v>
      </c>
      <c r="D83" s="11" t="s">
        <v>189</v>
      </c>
      <c r="E83" s="43" t="s">
        <v>331</v>
      </c>
      <c r="F83" s="43">
        <v>233</v>
      </c>
      <c r="G83" s="13" t="s">
        <v>313</v>
      </c>
      <c r="H83" s="10">
        <v>2024</v>
      </c>
      <c r="I83" s="12" t="s">
        <v>20</v>
      </c>
      <c r="J83" s="12" t="s">
        <v>20</v>
      </c>
      <c r="K83" s="12" t="s">
        <v>20</v>
      </c>
      <c r="L83" s="12" t="s">
        <v>20</v>
      </c>
      <c r="M83" s="12" t="s">
        <v>200</v>
      </c>
      <c r="N83" s="13" t="s">
        <v>182</v>
      </c>
      <c r="O83" s="12" t="s">
        <v>200</v>
      </c>
      <c r="P83" s="13" t="s">
        <v>182</v>
      </c>
      <c r="Q83" s="13" t="s">
        <v>200</v>
      </c>
    </row>
    <row r="84" spans="1:17" ht="45" customHeight="1" x14ac:dyDescent="0.25">
      <c r="A84" s="43">
        <v>82</v>
      </c>
      <c r="B84" s="12" t="s">
        <v>24</v>
      </c>
      <c r="C84" s="10" t="s">
        <v>188</v>
      </c>
      <c r="D84" s="11" t="s">
        <v>189</v>
      </c>
      <c r="E84" s="43" t="s">
        <v>332</v>
      </c>
      <c r="F84" s="43">
        <v>234</v>
      </c>
      <c r="G84" s="13" t="s">
        <v>314</v>
      </c>
      <c r="H84" s="10">
        <v>2024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201</v>
      </c>
      <c r="N84" s="13" t="s">
        <v>182</v>
      </c>
      <c r="O84" s="12" t="s">
        <v>201</v>
      </c>
      <c r="P84" s="13" t="s">
        <v>182</v>
      </c>
      <c r="Q84" s="13" t="s">
        <v>201</v>
      </c>
    </row>
    <row r="85" spans="1:17" ht="45" customHeight="1" x14ac:dyDescent="0.25">
      <c r="A85" s="43">
        <v>83</v>
      </c>
      <c r="B85" s="12" t="s">
        <v>24</v>
      </c>
      <c r="C85" s="10" t="s">
        <v>179</v>
      </c>
      <c r="D85" s="11" t="s">
        <v>180</v>
      </c>
      <c r="E85" s="43" t="s">
        <v>333</v>
      </c>
      <c r="F85" s="43">
        <v>235</v>
      </c>
      <c r="G85" s="13" t="s">
        <v>315</v>
      </c>
      <c r="H85" s="10">
        <v>2024</v>
      </c>
      <c r="I85" s="12" t="s">
        <v>20</v>
      </c>
      <c r="J85" s="12" t="s">
        <v>20</v>
      </c>
      <c r="K85" s="12" t="s">
        <v>20</v>
      </c>
      <c r="L85" s="12" t="s">
        <v>20</v>
      </c>
      <c r="M85" s="12" t="s">
        <v>202</v>
      </c>
      <c r="N85" s="13" t="s">
        <v>203</v>
      </c>
      <c r="O85" s="12" t="s">
        <v>202</v>
      </c>
      <c r="P85" s="13" t="s">
        <v>203</v>
      </c>
      <c r="Q85" s="13" t="s">
        <v>202</v>
      </c>
    </row>
    <row r="86" spans="1:17" ht="45" customHeight="1" x14ac:dyDescent="0.25">
      <c r="A86" s="43">
        <v>84</v>
      </c>
      <c r="B86" s="12" t="s">
        <v>24</v>
      </c>
      <c r="C86" s="10" t="s">
        <v>158</v>
      </c>
      <c r="D86" s="11" t="s">
        <v>159</v>
      </c>
      <c r="E86" s="12" t="s">
        <v>204</v>
      </c>
      <c r="F86" s="12">
        <v>236</v>
      </c>
      <c r="G86" s="13" t="s">
        <v>316</v>
      </c>
      <c r="H86" s="10">
        <v>2024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205</v>
      </c>
      <c r="N86" s="13" t="s">
        <v>203</v>
      </c>
      <c r="O86" s="12" t="s">
        <v>205</v>
      </c>
      <c r="P86" s="13" t="s">
        <v>203</v>
      </c>
      <c r="Q86" s="13" t="s">
        <v>205</v>
      </c>
    </row>
    <row r="87" spans="1:17" ht="45" customHeight="1" x14ac:dyDescent="0.25">
      <c r="A87" s="43">
        <v>85</v>
      </c>
      <c r="B87" s="12" t="s">
        <v>24</v>
      </c>
      <c r="C87" s="10" t="s">
        <v>29</v>
      </c>
      <c r="D87" s="11" t="s">
        <v>30</v>
      </c>
      <c r="E87" s="12" t="s">
        <v>206</v>
      </c>
      <c r="F87" s="12">
        <v>237</v>
      </c>
      <c r="G87" s="13" t="s">
        <v>207</v>
      </c>
      <c r="H87" s="10">
        <v>2024</v>
      </c>
      <c r="I87" s="12" t="s">
        <v>20</v>
      </c>
      <c r="J87" s="12" t="s">
        <v>20</v>
      </c>
      <c r="K87" s="12" t="s">
        <v>20</v>
      </c>
      <c r="L87" s="12" t="s">
        <v>20</v>
      </c>
      <c r="M87" s="12" t="s">
        <v>208</v>
      </c>
      <c r="N87" s="13" t="s">
        <v>199</v>
      </c>
      <c r="O87" s="12" t="s">
        <v>208</v>
      </c>
      <c r="P87" s="12" t="s">
        <v>199</v>
      </c>
      <c r="Q87" s="12" t="s">
        <v>208</v>
      </c>
    </row>
    <row r="88" spans="1:17" ht="45" customHeight="1" x14ac:dyDescent="0.25">
      <c r="A88" s="43">
        <v>86</v>
      </c>
      <c r="B88" s="12" t="s">
        <v>24</v>
      </c>
      <c r="C88" s="10" t="s">
        <v>29</v>
      </c>
      <c r="D88" s="11" t="s">
        <v>30</v>
      </c>
      <c r="E88" s="12" t="s">
        <v>209</v>
      </c>
      <c r="F88" s="12">
        <v>240</v>
      </c>
      <c r="G88" s="13" t="s">
        <v>210</v>
      </c>
      <c r="H88" s="10">
        <v>2024</v>
      </c>
      <c r="I88" s="12" t="s">
        <v>20</v>
      </c>
      <c r="J88" s="12" t="s">
        <v>20</v>
      </c>
      <c r="K88" s="12" t="s">
        <v>20</v>
      </c>
      <c r="L88" s="12" t="s">
        <v>20</v>
      </c>
      <c r="M88" s="12" t="s">
        <v>211</v>
      </c>
      <c r="N88" s="13" t="s">
        <v>199</v>
      </c>
      <c r="O88" s="12" t="s">
        <v>211</v>
      </c>
      <c r="P88" s="13" t="s">
        <v>199</v>
      </c>
      <c r="Q88" s="12" t="s">
        <v>211</v>
      </c>
    </row>
    <row r="89" spans="1:17" ht="45" customHeight="1" x14ac:dyDescent="0.25">
      <c r="A89" s="43">
        <v>87</v>
      </c>
      <c r="B89" s="12" t="s">
        <v>24</v>
      </c>
      <c r="C89" s="10" t="s">
        <v>158</v>
      </c>
      <c r="D89" s="11" t="s">
        <v>159</v>
      </c>
      <c r="E89" s="43" t="s">
        <v>212</v>
      </c>
      <c r="F89" s="43">
        <v>243</v>
      </c>
      <c r="G89" s="13" t="s">
        <v>283</v>
      </c>
      <c r="H89" s="10">
        <v>2025</v>
      </c>
      <c r="I89" s="12" t="s">
        <v>20</v>
      </c>
      <c r="J89" s="12" t="s">
        <v>20</v>
      </c>
      <c r="K89" s="12" t="s">
        <v>20</v>
      </c>
      <c r="L89" s="12" t="s">
        <v>20</v>
      </c>
      <c r="M89" s="43" t="s">
        <v>278</v>
      </c>
      <c r="N89" s="13" t="s">
        <v>280</v>
      </c>
      <c r="O89" s="43" t="s">
        <v>278</v>
      </c>
      <c r="P89" s="13" t="s">
        <v>280</v>
      </c>
      <c r="Q89" s="43" t="s">
        <v>278</v>
      </c>
    </row>
    <row r="90" spans="1:17" ht="45" customHeight="1" x14ac:dyDescent="0.25">
      <c r="A90" s="43">
        <v>88</v>
      </c>
      <c r="B90" s="12" t="s">
        <v>24</v>
      </c>
      <c r="C90" s="10" t="s">
        <v>122</v>
      </c>
      <c r="D90" s="33" t="s">
        <v>123</v>
      </c>
      <c r="E90" s="43" t="s">
        <v>213</v>
      </c>
      <c r="F90" s="43">
        <v>241</v>
      </c>
      <c r="G90" s="13" t="s">
        <v>214</v>
      </c>
      <c r="H90" s="10">
        <v>2025</v>
      </c>
      <c r="I90" s="43"/>
      <c r="J90" s="43"/>
      <c r="K90" s="43"/>
      <c r="L90" s="43"/>
      <c r="M90" s="12" t="s">
        <v>20</v>
      </c>
      <c r="N90" s="12" t="s">
        <v>20</v>
      </c>
      <c r="O90" s="12" t="s">
        <v>20</v>
      </c>
      <c r="P90" s="12" t="s">
        <v>20</v>
      </c>
      <c r="Q90" s="12" t="s">
        <v>20</v>
      </c>
    </row>
    <row r="91" spans="1:17" ht="45" customHeight="1" x14ac:dyDescent="0.25">
      <c r="A91" s="43">
        <v>89</v>
      </c>
      <c r="B91" s="12" t="s">
        <v>24</v>
      </c>
      <c r="C91" s="10" t="s">
        <v>122</v>
      </c>
      <c r="D91" s="33" t="s">
        <v>123</v>
      </c>
      <c r="E91" s="43" t="s">
        <v>215</v>
      </c>
      <c r="F91" s="43">
        <v>242</v>
      </c>
      <c r="G91" s="13" t="s">
        <v>284</v>
      </c>
      <c r="H91" s="10">
        <v>2025</v>
      </c>
      <c r="I91" s="43"/>
      <c r="J91" s="43"/>
      <c r="K91" s="43"/>
      <c r="L91" s="43"/>
      <c r="M91" s="43"/>
      <c r="N91" s="43"/>
      <c r="O91" s="43"/>
      <c r="P91" s="43"/>
      <c r="Q91" s="13"/>
    </row>
    <row r="92" spans="1:17" ht="45" customHeight="1" x14ac:dyDescent="0.25">
      <c r="A92" s="43">
        <v>90</v>
      </c>
      <c r="B92" s="12"/>
      <c r="C92" s="10" t="s">
        <v>216</v>
      </c>
      <c r="D92" s="33" t="s">
        <v>217</v>
      </c>
      <c r="E92" s="43" t="s">
        <v>218</v>
      </c>
      <c r="F92" s="43">
        <v>246</v>
      </c>
      <c r="G92" s="13" t="s">
        <v>219</v>
      </c>
      <c r="H92" s="10">
        <v>2025</v>
      </c>
      <c r="I92" s="43"/>
      <c r="J92" s="43"/>
      <c r="K92" s="43"/>
      <c r="L92" s="43"/>
      <c r="M92" s="43"/>
      <c r="N92" s="43"/>
      <c r="O92" s="43"/>
      <c r="P92" s="43"/>
      <c r="Q92" s="13"/>
    </row>
    <row r="93" spans="1:17" ht="45" customHeight="1" x14ac:dyDescent="0.25">
      <c r="A93" s="43">
        <v>91</v>
      </c>
      <c r="B93" s="139" t="s">
        <v>24</v>
      </c>
      <c r="C93" s="10" t="s">
        <v>179</v>
      </c>
      <c r="D93" s="33" t="s">
        <v>180</v>
      </c>
      <c r="E93" s="43" t="s">
        <v>220</v>
      </c>
      <c r="F93" s="43">
        <v>247</v>
      </c>
      <c r="G93" s="13" t="s">
        <v>284</v>
      </c>
      <c r="H93" s="10">
        <v>2025</v>
      </c>
      <c r="I93" s="12" t="s">
        <v>20</v>
      </c>
      <c r="J93" s="12" t="s">
        <v>20</v>
      </c>
      <c r="K93" s="12" t="s">
        <v>20</v>
      </c>
      <c r="L93" s="12" t="s">
        <v>20</v>
      </c>
      <c r="M93" s="43" t="s">
        <v>334</v>
      </c>
      <c r="N93" s="43" t="s">
        <v>424</v>
      </c>
      <c r="O93" s="43" t="s">
        <v>334</v>
      </c>
      <c r="P93" s="43" t="s">
        <v>424</v>
      </c>
      <c r="Q93" s="13" t="s">
        <v>334</v>
      </c>
    </row>
    <row r="94" spans="1:17" ht="45" customHeight="1" x14ac:dyDescent="0.25">
      <c r="A94" s="43">
        <v>92</v>
      </c>
      <c r="B94" s="139" t="s">
        <v>385</v>
      </c>
      <c r="C94" s="10" t="s">
        <v>65</v>
      </c>
      <c r="D94" s="11" t="s">
        <v>66</v>
      </c>
      <c r="E94" s="10" t="s">
        <v>221</v>
      </c>
      <c r="F94" s="43">
        <v>244</v>
      </c>
      <c r="G94" s="13" t="s">
        <v>284</v>
      </c>
      <c r="H94" s="10">
        <v>2025</v>
      </c>
      <c r="I94" s="12"/>
      <c r="J94" s="12"/>
      <c r="K94" s="12"/>
      <c r="L94" s="12"/>
      <c r="M94" s="43" t="s">
        <v>427</v>
      </c>
      <c r="N94" s="43" t="s">
        <v>448</v>
      </c>
      <c r="O94" s="147" t="s">
        <v>427</v>
      </c>
      <c r="P94" s="43" t="s">
        <v>448</v>
      </c>
      <c r="Q94" s="13" t="s">
        <v>427</v>
      </c>
    </row>
    <row r="95" spans="1:17" ht="45" customHeight="1" x14ac:dyDescent="0.25">
      <c r="A95" s="43">
        <v>93</v>
      </c>
      <c r="B95" s="142" t="s">
        <v>407</v>
      </c>
      <c r="C95" s="10" t="s">
        <v>118</v>
      </c>
      <c r="D95" s="11" t="s">
        <v>119</v>
      </c>
      <c r="E95" s="12" t="s">
        <v>222</v>
      </c>
      <c r="F95" s="12">
        <v>245</v>
      </c>
      <c r="G95" s="13" t="s">
        <v>284</v>
      </c>
      <c r="H95" s="10">
        <v>2025</v>
      </c>
      <c r="I95" s="12" t="s">
        <v>20</v>
      </c>
      <c r="J95" s="12" t="s">
        <v>20</v>
      </c>
      <c r="K95" s="12" t="s">
        <v>20</v>
      </c>
      <c r="L95" s="12" t="s">
        <v>20</v>
      </c>
      <c r="M95" s="43" t="s">
        <v>337</v>
      </c>
      <c r="N95" s="13" t="s">
        <v>359</v>
      </c>
      <c r="O95" s="43" t="s">
        <v>337</v>
      </c>
      <c r="P95" s="13" t="s">
        <v>359</v>
      </c>
      <c r="Q95" s="12" t="s">
        <v>20</v>
      </c>
    </row>
    <row r="96" spans="1:17" ht="45" customHeight="1" x14ac:dyDescent="0.25">
      <c r="A96" s="43">
        <v>94</v>
      </c>
      <c r="B96" s="139" t="s">
        <v>24</v>
      </c>
      <c r="C96" s="43" t="s">
        <v>179</v>
      </c>
      <c r="D96" s="11" t="s">
        <v>180</v>
      </c>
      <c r="E96" s="43" t="s">
        <v>276</v>
      </c>
      <c r="F96" s="43">
        <v>248</v>
      </c>
      <c r="G96" s="13" t="s">
        <v>285</v>
      </c>
      <c r="H96" s="43">
        <v>2025</v>
      </c>
      <c r="I96" s="12" t="s">
        <v>20</v>
      </c>
      <c r="J96" s="12" t="s">
        <v>20</v>
      </c>
      <c r="K96" s="12" t="s">
        <v>20</v>
      </c>
      <c r="L96" s="12" t="s">
        <v>20</v>
      </c>
      <c r="M96" s="43" t="s">
        <v>335</v>
      </c>
      <c r="N96" s="13" t="s">
        <v>359</v>
      </c>
      <c r="O96" s="43" t="s">
        <v>335</v>
      </c>
      <c r="P96" s="13" t="s">
        <v>359</v>
      </c>
      <c r="Q96" s="13" t="s">
        <v>335</v>
      </c>
    </row>
    <row r="97" spans="1:17" ht="45" customHeight="1" x14ac:dyDescent="0.25">
      <c r="A97" s="43">
        <v>95</v>
      </c>
      <c r="B97" s="142" t="s">
        <v>385</v>
      </c>
      <c r="C97" s="43" t="s">
        <v>42</v>
      </c>
      <c r="D97" s="11" t="s">
        <v>43</v>
      </c>
      <c r="E97" s="43" t="s">
        <v>277</v>
      </c>
      <c r="F97" s="43">
        <v>249</v>
      </c>
      <c r="G97" s="12" t="s">
        <v>286</v>
      </c>
      <c r="H97" s="43">
        <v>2025</v>
      </c>
      <c r="I97" s="43"/>
      <c r="J97" s="43"/>
      <c r="K97" s="43"/>
      <c r="L97" s="43"/>
      <c r="M97" s="43" t="s">
        <v>428</v>
      </c>
      <c r="N97" s="43" t="s">
        <v>448</v>
      </c>
      <c r="O97" s="43" t="s">
        <v>428</v>
      </c>
      <c r="P97" s="43" t="s">
        <v>448</v>
      </c>
      <c r="Q97" s="13" t="s">
        <v>428</v>
      </c>
    </row>
    <row r="98" spans="1:17" ht="45" customHeight="1" x14ac:dyDescent="0.25">
      <c r="A98" s="43">
        <v>96</v>
      </c>
      <c r="B98" s="139" t="s">
        <v>385</v>
      </c>
      <c r="C98" s="43" t="s">
        <v>179</v>
      </c>
      <c r="D98" s="11" t="s">
        <v>180</v>
      </c>
      <c r="E98" s="43" t="s">
        <v>281</v>
      </c>
      <c r="F98" s="43">
        <v>252</v>
      </c>
      <c r="G98" s="13" t="s">
        <v>288</v>
      </c>
      <c r="H98" s="43">
        <v>2025</v>
      </c>
      <c r="I98" s="12" t="s">
        <v>20</v>
      </c>
      <c r="J98" s="12" t="s">
        <v>20</v>
      </c>
      <c r="K98" s="12" t="s">
        <v>20</v>
      </c>
      <c r="L98" s="12" t="s">
        <v>20</v>
      </c>
      <c r="M98" s="43" t="s">
        <v>336</v>
      </c>
      <c r="N98" s="13" t="s">
        <v>359</v>
      </c>
      <c r="O98" s="43" t="s">
        <v>336</v>
      </c>
      <c r="P98" s="13" t="s">
        <v>359</v>
      </c>
      <c r="Q98" s="13" t="s">
        <v>336</v>
      </c>
    </row>
    <row r="99" spans="1:17" ht="45" customHeight="1" x14ac:dyDescent="0.25">
      <c r="A99" s="43">
        <v>97</v>
      </c>
      <c r="B99" s="143" t="s">
        <v>385</v>
      </c>
      <c r="C99" s="43" t="s">
        <v>29</v>
      </c>
      <c r="D99" s="11" t="s">
        <v>30</v>
      </c>
      <c r="E99" s="43" t="s">
        <v>279</v>
      </c>
      <c r="F99" s="43">
        <v>251</v>
      </c>
      <c r="G99" s="13" t="s">
        <v>287</v>
      </c>
      <c r="H99" s="43">
        <v>2025</v>
      </c>
      <c r="I99" s="12" t="s">
        <v>20</v>
      </c>
      <c r="J99" s="12" t="s">
        <v>20</v>
      </c>
      <c r="K99" s="12" t="s">
        <v>20</v>
      </c>
      <c r="L99" s="12" t="s">
        <v>20</v>
      </c>
      <c r="M99" s="43" t="s">
        <v>338</v>
      </c>
      <c r="N99" s="13" t="s">
        <v>359</v>
      </c>
      <c r="O99" s="43" t="s">
        <v>338</v>
      </c>
      <c r="P99" s="13" t="s">
        <v>359</v>
      </c>
      <c r="Q99" s="13" t="s">
        <v>338</v>
      </c>
    </row>
    <row r="100" spans="1:17" ht="45" customHeight="1" x14ac:dyDescent="0.25">
      <c r="A100" s="43">
        <v>98</v>
      </c>
      <c r="B100" s="139"/>
      <c r="C100" s="43" t="s">
        <v>158</v>
      </c>
      <c r="D100" s="11" t="s">
        <v>263</v>
      </c>
      <c r="E100" s="43" t="s">
        <v>342</v>
      </c>
      <c r="F100" s="43">
        <v>2671</v>
      </c>
      <c r="G100" s="13" t="s">
        <v>343</v>
      </c>
      <c r="H100" s="43">
        <v>2025</v>
      </c>
      <c r="I100" s="12"/>
      <c r="J100" s="12"/>
      <c r="K100" s="12"/>
      <c r="L100" s="12"/>
      <c r="M100" s="43"/>
      <c r="N100" s="43"/>
      <c r="O100" s="43"/>
      <c r="P100" s="43"/>
      <c r="Q100" s="13"/>
    </row>
    <row r="101" spans="1:17" ht="45" customHeight="1" x14ac:dyDescent="0.25">
      <c r="A101" s="43">
        <v>99</v>
      </c>
      <c r="B101" s="139" t="s">
        <v>24</v>
      </c>
      <c r="C101" s="43" t="s">
        <v>21</v>
      </c>
      <c r="D101" s="11" t="s">
        <v>22</v>
      </c>
      <c r="E101" s="43" t="s">
        <v>346</v>
      </c>
      <c r="F101" s="43">
        <v>260</v>
      </c>
      <c r="G101" s="12" t="s">
        <v>345</v>
      </c>
      <c r="H101" s="43">
        <v>2025</v>
      </c>
      <c r="I101" s="12"/>
      <c r="J101" s="12"/>
      <c r="K101" s="12"/>
      <c r="L101" s="12"/>
      <c r="M101" s="43" t="s">
        <v>429</v>
      </c>
      <c r="N101" s="43" t="s">
        <v>448</v>
      </c>
      <c r="O101" s="43" t="s">
        <v>429</v>
      </c>
      <c r="P101" s="43" t="s">
        <v>448</v>
      </c>
      <c r="Q101" s="13" t="s">
        <v>429</v>
      </c>
    </row>
    <row r="102" spans="1:17" ht="45" customHeight="1" x14ac:dyDescent="0.25">
      <c r="A102" s="43">
        <v>100</v>
      </c>
      <c r="B102" s="139" t="s">
        <v>24</v>
      </c>
      <c r="C102" s="43" t="s">
        <v>21</v>
      </c>
      <c r="D102" s="11" t="s">
        <v>22</v>
      </c>
      <c r="E102" s="43" t="s">
        <v>347</v>
      </c>
      <c r="F102" s="43">
        <v>262</v>
      </c>
      <c r="G102" s="12" t="s">
        <v>344</v>
      </c>
      <c r="H102" s="43">
        <v>2025</v>
      </c>
      <c r="I102" s="12"/>
      <c r="J102" s="12"/>
      <c r="K102" s="12"/>
      <c r="L102" s="12"/>
      <c r="M102" s="43" t="s">
        <v>430</v>
      </c>
      <c r="N102" s="43" t="s">
        <v>448</v>
      </c>
      <c r="O102" s="43" t="s">
        <v>430</v>
      </c>
      <c r="P102" s="43" t="s">
        <v>448</v>
      </c>
      <c r="Q102" s="13" t="s">
        <v>430</v>
      </c>
    </row>
    <row r="103" spans="1:17" ht="45" customHeight="1" x14ac:dyDescent="0.25">
      <c r="A103" s="43">
        <v>101</v>
      </c>
      <c r="B103" s="139" t="s">
        <v>24</v>
      </c>
      <c r="C103" s="43" t="s">
        <v>188</v>
      </c>
      <c r="D103" s="11" t="s">
        <v>189</v>
      </c>
      <c r="E103" s="43" t="s">
        <v>348</v>
      </c>
      <c r="F103" s="43">
        <v>264</v>
      </c>
      <c r="G103" s="13" t="s">
        <v>350</v>
      </c>
      <c r="H103" s="43">
        <v>2025</v>
      </c>
      <c r="I103" s="12"/>
      <c r="J103" s="12"/>
      <c r="K103" s="12"/>
      <c r="L103" s="12"/>
      <c r="M103" s="43" t="s">
        <v>431</v>
      </c>
      <c r="N103" s="43" t="s">
        <v>448</v>
      </c>
      <c r="O103" s="43" t="s">
        <v>431</v>
      </c>
      <c r="P103" s="43" t="s">
        <v>448</v>
      </c>
      <c r="Q103" s="13" t="s">
        <v>431</v>
      </c>
    </row>
    <row r="104" spans="1:17" ht="45" customHeight="1" x14ac:dyDescent="0.25">
      <c r="A104" s="43">
        <v>102</v>
      </c>
      <c r="B104" s="139" t="s">
        <v>24</v>
      </c>
      <c r="C104" s="43" t="s">
        <v>188</v>
      </c>
      <c r="D104" s="11" t="s">
        <v>189</v>
      </c>
      <c r="E104" s="43" t="s">
        <v>349</v>
      </c>
      <c r="F104" s="43">
        <v>267</v>
      </c>
      <c r="G104" s="13" t="s">
        <v>296</v>
      </c>
      <c r="H104" s="43">
        <v>2025</v>
      </c>
      <c r="I104" s="12"/>
      <c r="J104" s="12"/>
      <c r="K104" s="12"/>
      <c r="L104" s="12"/>
      <c r="M104" s="43" t="s">
        <v>432</v>
      </c>
      <c r="N104" s="43" t="s">
        <v>448</v>
      </c>
      <c r="O104" s="43" t="s">
        <v>432</v>
      </c>
      <c r="P104" s="43" t="s">
        <v>448</v>
      </c>
      <c r="Q104" s="13" t="s">
        <v>432</v>
      </c>
    </row>
    <row r="105" spans="1:17" ht="45" customHeight="1" x14ac:dyDescent="0.25">
      <c r="A105" s="43">
        <v>103</v>
      </c>
      <c r="B105" s="140"/>
      <c r="C105" s="43" t="s">
        <v>122</v>
      </c>
      <c r="D105" s="11" t="s">
        <v>123</v>
      </c>
      <c r="E105" s="43" t="s">
        <v>341</v>
      </c>
      <c r="F105" s="130">
        <v>263</v>
      </c>
      <c r="G105" s="13" t="s">
        <v>353</v>
      </c>
      <c r="H105" s="43">
        <v>2025</v>
      </c>
      <c r="I105" s="12"/>
      <c r="J105" s="12"/>
      <c r="K105" s="12"/>
      <c r="L105" s="12"/>
      <c r="N105" s="43"/>
      <c r="P105" s="43"/>
      <c r="Q105" s="13"/>
    </row>
    <row r="106" spans="1:17" ht="45" customHeight="1" x14ac:dyDescent="0.25">
      <c r="A106" s="43">
        <v>104</v>
      </c>
      <c r="B106" s="139" t="s">
        <v>24</v>
      </c>
      <c r="C106" s="43" t="s">
        <v>179</v>
      </c>
      <c r="D106" s="11" t="s">
        <v>180</v>
      </c>
      <c r="E106" s="43" t="s">
        <v>351</v>
      </c>
      <c r="F106" s="43">
        <v>265</v>
      </c>
      <c r="G106" s="13" t="s">
        <v>352</v>
      </c>
      <c r="H106" s="43">
        <v>2025</v>
      </c>
      <c r="I106" s="12"/>
      <c r="J106" s="12"/>
      <c r="K106" s="12"/>
      <c r="L106" s="12"/>
      <c r="M106" s="43" t="s">
        <v>435</v>
      </c>
      <c r="N106" s="43"/>
      <c r="O106" s="43" t="s">
        <v>435</v>
      </c>
      <c r="P106" s="43"/>
      <c r="Q106" s="13" t="s">
        <v>435</v>
      </c>
    </row>
    <row r="107" spans="1:17" ht="45" customHeight="1" x14ac:dyDescent="0.25">
      <c r="A107" s="43">
        <v>105</v>
      </c>
      <c r="B107" s="139"/>
      <c r="C107" s="43" t="s">
        <v>193</v>
      </c>
      <c r="D107" s="11" t="s">
        <v>194</v>
      </c>
      <c r="E107" s="43" t="s">
        <v>354</v>
      </c>
      <c r="F107" s="43">
        <v>259</v>
      </c>
      <c r="G107" s="13" t="s">
        <v>284</v>
      </c>
      <c r="H107" s="43">
        <v>2025</v>
      </c>
      <c r="I107" s="12"/>
      <c r="J107" s="12"/>
      <c r="K107" s="12"/>
      <c r="L107" s="12"/>
      <c r="M107" s="43"/>
      <c r="N107" s="43"/>
      <c r="O107" s="43"/>
      <c r="P107" s="43"/>
      <c r="Q107" s="13"/>
    </row>
    <row r="108" spans="1:17" ht="45" customHeight="1" x14ac:dyDescent="0.25">
      <c r="A108" s="43">
        <v>106</v>
      </c>
      <c r="B108" s="139" t="s">
        <v>24</v>
      </c>
      <c r="C108" s="43" t="s">
        <v>29</v>
      </c>
      <c r="D108" s="11" t="s">
        <v>30</v>
      </c>
      <c r="E108" s="43" t="s">
        <v>355</v>
      </c>
      <c r="F108" s="43">
        <v>268</v>
      </c>
      <c r="G108" s="13" t="s">
        <v>356</v>
      </c>
      <c r="H108" s="43">
        <v>2025</v>
      </c>
      <c r="I108" s="12"/>
      <c r="J108" s="12"/>
      <c r="K108" s="12"/>
      <c r="L108" s="12"/>
      <c r="M108" s="43" t="s">
        <v>436</v>
      </c>
      <c r="N108" s="43"/>
      <c r="O108" s="43" t="s">
        <v>436</v>
      </c>
      <c r="P108" s="43"/>
      <c r="Q108" s="13" t="s">
        <v>436</v>
      </c>
    </row>
    <row r="109" spans="1:17" ht="45" customHeight="1" x14ac:dyDescent="0.25">
      <c r="A109" s="43">
        <v>107</v>
      </c>
      <c r="B109" s="139" t="s">
        <v>24</v>
      </c>
      <c r="C109" s="43" t="s">
        <v>76</v>
      </c>
      <c r="D109" s="11" t="s">
        <v>77</v>
      </c>
      <c r="E109" s="43" t="s">
        <v>357</v>
      </c>
      <c r="F109" s="43">
        <v>269</v>
      </c>
      <c r="G109" s="13" t="s">
        <v>358</v>
      </c>
      <c r="H109" s="43">
        <v>2025</v>
      </c>
      <c r="I109" s="12"/>
      <c r="J109" s="12"/>
      <c r="K109" s="12"/>
      <c r="L109" s="12"/>
      <c r="M109" s="43" t="s">
        <v>437</v>
      </c>
      <c r="N109" s="43"/>
      <c r="O109" s="43" t="s">
        <v>437</v>
      </c>
      <c r="P109" s="43"/>
      <c r="Q109" s="13" t="s">
        <v>437</v>
      </c>
    </row>
    <row r="110" spans="1:17" ht="45" customHeight="1" x14ac:dyDescent="0.25">
      <c r="A110" s="43">
        <v>108</v>
      </c>
      <c r="B110" s="139"/>
      <c r="C110" s="43" t="s">
        <v>122</v>
      </c>
      <c r="D110" s="11" t="s">
        <v>123</v>
      </c>
      <c r="E110" s="43" t="s">
        <v>392</v>
      </c>
      <c r="F110" s="43">
        <v>270</v>
      </c>
      <c r="G110" s="13" t="s">
        <v>393</v>
      </c>
      <c r="H110" s="43">
        <v>2025</v>
      </c>
      <c r="I110" s="12"/>
      <c r="J110" s="12"/>
      <c r="K110" s="12"/>
      <c r="L110" s="12"/>
      <c r="M110" s="43"/>
      <c r="N110" s="43"/>
      <c r="O110" s="43"/>
      <c r="P110" s="43"/>
      <c r="Q110" s="13"/>
    </row>
    <row r="111" spans="1:17" ht="45" customHeight="1" x14ac:dyDescent="0.25">
      <c r="A111" s="43">
        <v>109</v>
      </c>
      <c r="B111" s="150"/>
      <c r="C111" s="43" t="s">
        <v>122</v>
      </c>
      <c r="D111" s="11" t="s">
        <v>123</v>
      </c>
      <c r="E111" s="43" t="s">
        <v>440</v>
      </c>
      <c r="F111" s="148">
        <v>274</v>
      </c>
      <c r="G111" s="13" t="s">
        <v>441</v>
      </c>
      <c r="H111" s="43">
        <v>2025</v>
      </c>
      <c r="I111" s="12"/>
      <c r="J111" s="12"/>
      <c r="K111" s="12"/>
      <c r="L111" s="12"/>
      <c r="M111" s="43"/>
      <c r="N111" s="43"/>
      <c r="O111" s="43"/>
      <c r="P111" s="43"/>
      <c r="Q111" s="13"/>
    </row>
    <row r="112" spans="1:17" ht="45" customHeight="1" x14ac:dyDescent="0.25">
      <c r="A112" s="43">
        <v>110</v>
      </c>
      <c r="B112" s="140"/>
      <c r="C112" s="43" t="s">
        <v>179</v>
      </c>
      <c r="D112" s="11" t="s">
        <v>180</v>
      </c>
      <c r="E112" s="43" t="s">
        <v>433</v>
      </c>
      <c r="F112" s="130">
        <v>273</v>
      </c>
      <c r="G112" s="13" t="s">
        <v>434</v>
      </c>
      <c r="H112" s="43">
        <v>2025</v>
      </c>
      <c r="I112" s="12"/>
      <c r="J112" s="12"/>
      <c r="K112" s="12"/>
      <c r="L112" s="12"/>
      <c r="M112" s="43"/>
      <c r="N112" s="43"/>
      <c r="O112" s="43"/>
      <c r="P112" s="43"/>
      <c r="Q112" s="13"/>
    </row>
    <row r="113" spans="1:17" ht="45" customHeight="1" x14ac:dyDescent="0.25">
      <c r="A113" s="43">
        <v>111</v>
      </c>
      <c r="B113" s="150"/>
      <c r="C113" s="43" t="s">
        <v>122</v>
      </c>
      <c r="D113" s="11" t="s">
        <v>123</v>
      </c>
      <c r="E113" s="43" t="s">
        <v>442</v>
      </c>
      <c r="F113" s="148">
        <v>277</v>
      </c>
      <c r="G113" s="13" t="s">
        <v>443</v>
      </c>
      <c r="H113" s="43">
        <v>2025</v>
      </c>
      <c r="I113" s="12"/>
      <c r="J113" s="12"/>
      <c r="K113" s="12"/>
      <c r="L113" s="12"/>
      <c r="M113" s="43"/>
      <c r="N113" s="43"/>
      <c r="O113" s="43"/>
      <c r="P113" s="43"/>
      <c r="Q113" s="13"/>
    </row>
    <row r="114" spans="1:17" ht="45" customHeight="1" x14ac:dyDescent="0.25">
      <c r="A114" s="43">
        <v>112</v>
      </c>
      <c r="B114" s="150"/>
      <c r="C114" s="43" t="s">
        <v>29</v>
      </c>
      <c r="D114" s="11" t="s">
        <v>30</v>
      </c>
      <c r="E114" s="43" t="s">
        <v>438</v>
      </c>
      <c r="F114" s="148">
        <v>276</v>
      </c>
      <c r="G114" s="13" t="s">
        <v>439</v>
      </c>
      <c r="H114" s="43">
        <v>2025</v>
      </c>
      <c r="I114" s="12"/>
      <c r="J114" s="12"/>
      <c r="K114" s="12"/>
      <c r="L114" s="12"/>
      <c r="M114" s="43"/>
      <c r="N114" s="43"/>
      <c r="O114" s="43"/>
      <c r="P114" s="43"/>
      <c r="Q114" s="13"/>
    </row>
    <row r="115" spans="1:17" ht="45" customHeight="1" x14ac:dyDescent="0.25">
      <c r="A115" s="43">
        <v>113</v>
      </c>
      <c r="B115" s="150"/>
      <c r="C115" s="43" t="s">
        <v>122</v>
      </c>
      <c r="D115" s="11" t="s">
        <v>123</v>
      </c>
      <c r="E115" s="43" t="s">
        <v>452</v>
      </c>
      <c r="F115" s="148">
        <v>281</v>
      </c>
      <c r="G115" s="13" t="s">
        <v>453</v>
      </c>
      <c r="H115" s="43">
        <v>2025</v>
      </c>
      <c r="I115" s="12"/>
      <c r="J115" s="12"/>
      <c r="K115" s="12"/>
      <c r="L115" s="12"/>
      <c r="M115" s="43"/>
      <c r="N115" s="43"/>
      <c r="O115" s="43"/>
      <c r="P115" s="43"/>
      <c r="Q115" s="13"/>
    </row>
    <row r="116" spans="1:17" ht="45" customHeight="1" x14ac:dyDescent="0.25">
      <c r="A116" s="43">
        <v>114</v>
      </c>
      <c r="B116" s="139"/>
      <c r="C116" s="43" t="s">
        <v>42</v>
      </c>
      <c r="D116" s="11" t="s">
        <v>43</v>
      </c>
      <c r="E116" s="43" t="s">
        <v>394</v>
      </c>
      <c r="F116" s="43">
        <v>272</v>
      </c>
      <c r="G116" s="13" t="s">
        <v>395</v>
      </c>
      <c r="H116" s="43">
        <v>2025</v>
      </c>
      <c r="I116" s="12"/>
      <c r="J116" s="12"/>
      <c r="K116" s="12"/>
      <c r="L116" s="12"/>
      <c r="M116" s="43"/>
      <c r="N116" s="43"/>
      <c r="O116" s="43"/>
      <c r="P116" s="43"/>
      <c r="Q116" s="13"/>
    </row>
    <row r="117" spans="1:17" ht="45" customHeight="1" x14ac:dyDescent="0.25">
      <c r="A117" s="43">
        <v>115</v>
      </c>
      <c r="B117" s="139"/>
      <c r="C117" s="43" t="s">
        <v>446</v>
      </c>
      <c r="D117" s="11" t="s">
        <v>444</v>
      </c>
      <c r="E117" s="43" t="s">
        <v>445</v>
      </c>
      <c r="F117" s="43">
        <v>275</v>
      </c>
      <c r="G117" s="13" t="s">
        <v>284</v>
      </c>
      <c r="H117" s="43">
        <v>2025</v>
      </c>
      <c r="I117" s="12"/>
      <c r="J117" s="12"/>
      <c r="K117" s="12"/>
      <c r="L117" s="12"/>
      <c r="M117" s="43"/>
      <c r="N117" s="43"/>
      <c r="O117" s="43"/>
      <c r="P117" s="43"/>
      <c r="Q117" s="13"/>
    </row>
    <row r="118" spans="1:17" ht="45" customHeight="1" x14ac:dyDescent="0.25">
      <c r="A118" s="43">
        <v>116</v>
      </c>
      <c r="B118" s="139"/>
      <c r="C118" s="43"/>
      <c r="D118" s="11"/>
      <c r="E118" s="43"/>
      <c r="F118" s="43"/>
      <c r="G118" s="13"/>
      <c r="H118" s="43"/>
      <c r="I118" s="12"/>
      <c r="J118" s="12"/>
      <c r="K118" s="12"/>
      <c r="L118" s="12"/>
      <c r="M118" s="43"/>
      <c r="N118" s="43"/>
      <c r="O118" s="43"/>
      <c r="P118" s="43"/>
      <c r="Q118" s="13"/>
    </row>
    <row r="119" spans="1:17" ht="45" customHeight="1" x14ac:dyDescent="0.25">
      <c r="A119" s="43">
        <v>117</v>
      </c>
      <c r="B119" s="139"/>
      <c r="C119" s="43"/>
      <c r="D119" s="11"/>
      <c r="E119" s="43"/>
      <c r="F119" s="43"/>
      <c r="G119" s="13"/>
      <c r="H119" s="43"/>
      <c r="I119" s="12"/>
      <c r="J119" s="12"/>
      <c r="K119" s="12"/>
      <c r="L119" s="12"/>
      <c r="M119" s="43"/>
      <c r="N119" s="43"/>
      <c r="O119" s="43"/>
      <c r="P119" s="43"/>
      <c r="Q119" s="13"/>
    </row>
    <row r="120" spans="1:17" ht="45" customHeight="1" x14ac:dyDescent="0.25">
      <c r="A120" s="43">
        <v>118</v>
      </c>
      <c r="B120" s="139"/>
      <c r="C120" s="43"/>
      <c r="D120" s="11"/>
      <c r="E120" s="43"/>
      <c r="F120" s="43"/>
      <c r="G120" s="13"/>
      <c r="H120" s="43"/>
      <c r="I120" s="12"/>
      <c r="J120" s="12"/>
      <c r="K120" s="12"/>
      <c r="L120" s="12"/>
      <c r="M120" s="43"/>
      <c r="N120" s="43"/>
      <c r="O120" s="43"/>
      <c r="P120" s="43"/>
      <c r="Q120" s="13"/>
    </row>
    <row r="121" spans="1:17" ht="45" customHeight="1" x14ac:dyDescent="0.25">
      <c r="A121" s="43">
        <v>119</v>
      </c>
      <c r="B121" s="139"/>
      <c r="C121" s="43"/>
      <c r="D121" s="11"/>
      <c r="E121" s="43"/>
      <c r="F121" s="43"/>
      <c r="G121" s="13"/>
      <c r="H121" s="43"/>
      <c r="I121" s="12"/>
      <c r="J121" s="12"/>
      <c r="K121" s="12"/>
      <c r="L121" s="12"/>
      <c r="M121" s="43"/>
      <c r="N121" s="43"/>
      <c r="O121" s="43"/>
      <c r="P121" s="43"/>
      <c r="Q121" s="13"/>
    </row>
    <row r="122" spans="1:17" ht="45" customHeight="1" x14ac:dyDescent="0.25">
      <c r="A122" s="43">
        <v>120</v>
      </c>
      <c r="B122" s="139"/>
      <c r="C122" s="43"/>
      <c r="D122" s="11"/>
      <c r="E122" s="43"/>
      <c r="F122" s="43"/>
      <c r="G122" s="13"/>
      <c r="H122" s="43"/>
      <c r="I122" s="12"/>
      <c r="J122" s="12"/>
      <c r="K122" s="12"/>
      <c r="L122" s="12"/>
      <c r="M122" s="43"/>
      <c r="N122" s="43"/>
      <c r="O122" s="43"/>
      <c r="P122" s="43"/>
      <c r="Q122" s="13"/>
    </row>
  </sheetData>
  <mergeCells count="4">
    <mergeCell ref="I1:J1"/>
    <mergeCell ref="K1:L1"/>
    <mergeCell ref="M1:N1"/>
    <mergeCell ref="O1:P1"/>
  </mergeCells>
  <conditionalFormatting sqref="B1:B1048576">
    <cfRule type="cellIs" dxfId="95" priority="1" operator="equal">
      <formula>"falta backup"</formula>
    </cfRule>
    <cfRule type="cellIs" dxfId="94" priority="2" operator="equal">
      <formula>"falta certificado"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ignoredErrors>
    <ignoredError sqref="D117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'Cursos ofertados'!$C$2:$C$20</xm:f>
          </x14:formula1>
          <xm:sqref>D117:D122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showGridLines="0" topLeftCell="A106" zoomScale="160" zoomScaleNormal="160" workbookViewId="0">
      <selection activeCell="J115" sqref="J115"/>
    </sheetView>
  </sheetViews>
  <sheetFormatPr defaultColWidth="9.140625" defaultRowHeight="14.25" x14ac:dyDescent="0.25"/>
  <cols>
    <col min="1" max="1" width="35.28515625" style="44" customWidth="1"/>
    <col min="2" max="2" width="12" style="15" customWidth="1"/>
    <col min="3" max="3" width="8.28515625" style="15" customWidth="1"/>
    <col min="4" max="4" width="12.7109375" style="15" customWidth="1"/>
    <col min="5" max="5" width="10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273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customHeight="1" x14ac:dyDescent="0.25">
      <c r="A2" s="110"/>
      <c r="B2" s="121"/>
      <c r="C2" s="165" t="s">
        <v>248</v>
      </c>
      <c r="D2" s="165"/>
      <c r="E2" s="165"/>
      <c r="F2" s="165"/>
      <c r="G2" s="165"/>
      <c r="H2" s="165"/>
      <c r="I2" s="165"/>
      <c r="J2" s="165"/>
    </row>
    <row r="3" spans="1:10" ht="36" x14ac:dyDescent="0.25">
      <c r="A3" s="111"/>
      <c r="B3" s="122" t="s">
        <v>272</v>
      </c>
      <c r="C3" s="112" t="s">
        <v>229</v>
      </c>
      <c r="D3" s="112" t="s">
        <v>230</v>
      </c>
      <c r="E3" s="112" t="s">
        <v>231</v>
      </c>
      <c r="F3" s="113" t="s">
        <v>249</v>
      </c>
      <c r="G3" s="112" t="s">
        <v>233</v>
      </c>
      <c r="H3" s="112" t="s">
        <v>234</v>
      </c>
      <c r="I3" s="112" t="s">
        <v>235</v>
      </c>
      <c r="J3" s="114" t="s">
        <v>236</v>
      </c>
    </row>
    <row r="4" spans="1:10" ht="15.75" x14ac:dyDescent="0.25">
      <c r="A4" s="86" t="s">
        <v>250</v>
      </c>
      <c r="B4" s="50">
        <f>COUNTIF(Tabela3[Ano],"2025")</f>
        <v>29</v>
      </c>
      <c r="C4" s="51">
        <f>SUM(C5:C7)</f>
        <v>6810</v>
      </c>
      <c r="D4" s="51">
        <f>SUM(D5:D7)</f>
        <v>6810</v>
      </c>
      <c r="E4" s="51">
        <f>SUM(E5:E7)</f>
        <v>5353</v>
      </c>
      <c r="F4" s="52">
        <f t="shared" ref="F4:F35" si="0">IFERROR(((E4*100)/D4),0)</f>
        <v>78.604992657856087</v>
      </c>
      <c r="G4" s="51">
        <f>SUM(G5:G7)</f>
        <v>153</v>
      </c>
      <c r="H4" s="51">
        <f>SUM(H5:H7)</f>
        <v>251</v>
      </c>
      <c r="I4" s="51">
        <f>SUM(I5:I7)</f>
        <v>832</v>
      </c>
      <c r="J4" s="53">
        <f>SUM(J5:J7)</f>
        <v>0</v>
      </c>
    </row>
    <row r="5" spans="1:10" x14ac:dyDescent="0.25">
      <c r="A5" s="88" t="s">
        <v>251</v>
      </c>
      <c r="B5" s="55">
        <f>COUNTIFS(Tabela3[Ano],"2025",Tabela3[Modalidade de Ensino],"Presencial")</f>
        <v>0</v>
      </c>
      <c r="C5" s="56">
        <f>SUMIFS(Tabela3[Inscritos],Tabela3[Ano],"2025",Tabela3[Modalidade de Ensino],"Presencial")</f>
        <v>0</v>
      </c>
      <c r="D5" s="56">
        <f>SUMIFS(Tabela3[Matriculados],Tabela3[Ano],"2025",Tabela3[Modalidade de Ensino],"Presencial")</f>
        <v>0</v>
      </c>
      <c r="E5" s="56">
        <f>SUMIFS(Tabela3[Aprovados],Tabela3[Ano],"2025",Tabela3[Modalidade de Ensino],"Presencial")</f>
        <v>0</v>
      </c>
      <c r="F5" s="96">
        <f t="shared" si="0"/>
        <v>0</v>
      </c>
      <c r="G5" s="56">
        <f>SUMIFS(Tabela3[Reprovados],Tabela3[Ano],"2025",Tabela3[Modalidade de Ensino],"Presencial")</f>
        <v>0</v>
      </c>
      <c r="H5" s="56">
        <f>SUMIFS(Tabela3[Desistentes],Tabela3[Ano],"2025",Tabela3[Modalidade de Ensino],"Presencial")</f>
        <v>0</v>
      </c>
      <c r="I5" s="56">
        <f>SUMIFS(Tabela3[Não responderam o 1º questionário],Tabela3[Ano],"2025",Tabela3[Modalidade de Ensino],"Presencial")</f>
        <v>0</v>
      </c>
      <c r="J5" s="58">
        <f>SUMIFS(Tabela3[Nunca acessaram o curso],Tabela3[Ano],"2025",Tabela3[Modalidade de Ensino],"Presencial")</f>
        <v>0</v>
      </c>
    </row>
    <row r="6" spans="1:10" x14ac:dyDescent="0.25">
      <c r="A6" s="90" t="s">
        <v>252</v>
      </c>
      <c r="B6" s="60">
        <f>COUNTIFS(Tabela3[Ano],"2025",Tabela3[Modalidade de Ensino],"A Distância (EaD)")</f>
        <v>15</v>
      </c>
      <c r="C6" s="61">
        <f>SUMIFS(Tabela3[Inscritos],Tabela3[Ano],"2025",Tabela3[Modalidade de Ensino],"A Distância (EaD)")</f>
        <v>6415</v>
      </c>
      <c r="D6" s="61">
        <f>SUMIFS(Tabela3[Matriculados],Tabela3[Ano],"2025",Tabela3[Modalidade de Ensino],"A Distância (EaD)")</f>
        <v>6415</v>
      </c>
      <c r="E6" s="61">
        <f>SUMIFS(Tabela3[Aprovados],Tabela3[Ano],"2025",Tabela3[Modalidade de Ensino],"A Distância (EaD)")</f>
        <v>5215</v>
      </c>
      <c r="F6" s="57">
        <f t="shared" si="0"/>
        <v>81.293842556508181</v>
      </c>
      <c r="G6" s="61">
        <f>SUMIFS(Tabela3[Reprovados],Tabela3[Ano],"2025",Tabela3[Modalidade de Ensino],"A Distância (EaD)")</f>
        <v>139</v>
      </c>
      <c r="H6" s="61">
        <f>SUMIFS(Tabela3[Desistentes],Tabela3[Ano],"2025",Tabela3[Modalidade de Ensino],"A Distância (EaD)")</f>
        <v>246</v>
      </c>
      <c r="I6" s="61">
        <f>SUMIFS(Tabela3[Não responderam o 1º questionário],Tabela3[Ano],"2025",Tabela3[Modalidade de Ensino],"A Distância (EaD)")</f>
        <v>815</v>
      </c>
      <c r="J6" s="62">
        <f>SUMIFS(Tabela3[Nunca acessaram o curso],Tabela3[Ano],"2025",Tabela3[Modalidade de Ensino],"A Distância (EaD)")</f>
        <v>0</v>
      </c>
    </row>
    <row r="7" spans="1:10" ht="15.75" customHeight="1" x14ac:dyDescent="0.25">
      <c r="A7" s="92" t="s">
        <v>253</v>
      </c>
      <c r="B7" s="64">
        <f>COUNTIFS(Tabela3[Ano],"2025",Tabela3[Modalidade de Ensino],"Semipresencial")</f>
        <v>14</v>
      </c>
      <c r="C7" s="65">
        <f>SUMIFS(Tabela3[Inscritos],Tabela3[Ano],"2025",Tabela3[Modalidade de Ensino],"Semipresencial")</f>
        <v>395</v>
      </c>
      <c r="D7" s="65">
        <f>SUMIFS(Tabela3[Matriculados],Tabela3[Ano],"2025",Tabela3[Modalidade de Ensino],"Semipresencial")</f>
        <v>395</v>
      </c>
      <c r="E7" s="65">
        <f>SUMIFS(Tabela3[Aprovados],Tabela3[Ano],"2025",Tabela3[Modalidade de Ensino],"Semipresencial")</f>
        <v>138</v>
      </c>
      <c r="F7" s="101">
        <f t="shared" si="0"/>
        <v>34.936708860759495</v>
      </c>
      <c r="G7" s="65">
        <f>SUMIFS(Tabela3[Reprovados],Tabela3[Ano],"2025",Tabela3[Modalidade de Ensino],"Semipresencial")</f>
        <v>14</v>
      </c>
      <c r="H7" s="65">
        <f>SUMIFS(Tabela3[Desistentes],Tabela3[Ano],"2025",Tabela3[Modalidade de Ensino],"Semipresencial")</f>
        <v>5</v>
      </c>
      <c r="I7" s="65">
        <f>SUMIFS(Tabela3[Não responderam o 1º questionário],Tabela3[Ano],"2025",Tabela3[Modalidade de Ensino],"Semipresencial")</f>
        <v>17</v>
      </c>
      <c r="J7" s="67">
        <f>SUMIFS(Tabela3[Nunca acessaram o curso],Tabela3[Ano],"2025",Tabela3[Modalidade de Ensino],"Semipresencial")</f>
        <v>0</v>
      </c>
    </row>
    <row r="8" spans="1:10" ht="25.5" hidden="1" customHeight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38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14.25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t="14.25" hidden="1" customHeight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14.25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5.5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hidden="1" customHeight="1" x14ac:dyDescent="0.25">
      <c r="A14" s="90" t="str">
        <f>IF('Controle adm. dos cursos'!H9=2019,'Controle adm. dos cursos'!D9," ")</f>
        <v>Atendimento de Emergências em Edificações</v>
      </c>
      <c r="B14" s="60"/>
      <c r="C14" s="60">
        <f>'Resumo dos cursos'!N9</f>
        <v>277</v>
      </c>
      <c r="D14" s="60">
        <f>'Resumo dos cursos'!O9</f>
        <v>277</v>
      </c>
      <c r="E14" s="60">
        <f>'Resumo dos cursos'!P9</f>
        <v>190</v>
      </c>
      <c r="F14" s="57">
        <f t="shared" si="0"/>
        <v>68.592057761732846</v>
      </c>
      <c r="G14" s="60">
        <f>'Resumo dos cursos'!R9</f>
        <v>7</v>
      </c>
      <c r="H14" s="60">
        <f>'Resumo dos cursos'!S9</f>
        <v>8</v>
      </c>
      <c r="I14" s="60">
        <f>'Resumo dos cursos'!T9</f>
        <v>11</v>
      </c>
      <c r="J14" s="91">
        <f>'Resumo dos cursos'!U9</f>
        <v>61</v>
      </c>
    </row>
    <row r="15" spans="1:10" ht="38.25" hidden="1" x14ac:dyDescent="0.25">
      <c r="A15" s="90" t="str">
        <f>IF('Controle adm. dos cursos'!H14=2021,'Controle adm. dos cursos'!D14," ")</f>
        <v>Conhecimentos Básicos para Integrantes da Rede Estadual de Emergência de Radioamadores</v>
      </c>
      <c r="B15" s="98" t="str">
        <f>'Controle adm. dos cursos'!G14</f>
        <v>Turma 2021</v>
      </c>
      <c r="C15" s="60">
        <f>'Resumo dos cursos'!N14</f>
        <v>126</v>
      </c>
      <c r="D15" s="60">
        <f>'Resumo dos cursos'!O14</f>
        <v>126</v>
      </c>
      <c r="E15" s="60">
        <f>'Resumo dos cursos'!P14</f>
        <v>87</v>
      </c>
      <c r="F15" s="57">
        <f t="shared" si="0"/>
        <v>69.047619047619051</v>
      </c>
      <c r="G15" s="60">
        <f>'Resumo dos cursos'!R14</f>
        <v>4</v>
      </c>
      <c r="H15" s="60">
        <f>'Resumo dos cursos'!S14</f>
        <v>4</v>
      </c>
      <c r="I15" s="60">
        <f>'Resumo dos cursos'!T14</f>
        <v>9</v>
      </c>
      <c r="J15" s="91">
        <f>'Resumo dos cursos'!U14</f>
        <v>22</v>
      </c>
    </row>
    <row r="16" spans="1:10" ht="38.25" hidden="1" x14ac:dyDescent="0.25">
      <c r="A16" s="90" t="str">
        <f>IF('Controle adm. dos cursos'!H15=2021,'Controle adm. dos cursos'!D15," ")</f>
        <v>Conhecimentos Fundamentais para Gestores Municipais de Proteção e Defesa Civil</v>
      </c>
      <c r="B16" s="98" t="str">
        <f>'Controle adm. dos cursos'!G15</f>
        <v>Turma I 2021</v>
      </c>
      <c r="C16" s="60">
        <f>'Resumo dos cursos'!N15</f>
        <v>176</v>
      </c>
      <c r="D16" s="60">
        <f>'Resumo dos cursos'!O15</f>
        <v>176</v>
      </c>
      <c r="E16" s="60">
        <f>'Resumo dos cursos'!P15</f>
        <v>106</v>
      </c>
      <c r="F16" s="57">
        <f t="shared" si="0"/>
        <v>60.227272727272727</v>
      </c>
      <c r="G16" s="60">
        <f>'Resumo dos cursos'!R15</f>
        <v>1</v>
      </c>
      <c r="H16" s="60">
        <f>'Resumo dos cursos'!S15</f>
        <v>69</v>
      </c>
      <c r="I16" s="60">
        <f>'Resumo dos cursos'!T15</f>
        <v>0</v>
      </c>
      <c r="J16" s="91">
        <f>'Resumo dos cursos'!U15</f>
        <v>0</v>
      </c>
    </row>
    <row r="17" spans="1:10" hidden="1" x14ac:dyDescent="0.25">
      <c r="A17" s="90" t="str">
        <f>IF('Controle adm. dos cursos'!H16=2021,'Controle adm. dos cursos'!D16," ")</f>
        <v>Sistema de Comando de Incidentes</v>
      </c>
      <c r="B17" s="98" t="str">
        <f>'Controle adm. dos cursos'!G16</f>
        <v>Turma 5ª Divisão de Exército</v>
      </c>
      <c r="C17" s="60">
        <f>'Resumo dos cursos'!N16</f>
        <v>28</v>
      </c>
      <c r="D17" s="60">
        <f>'Resumo dos cursos'!O16</f>
        <v>28</v>
      </c>
      <c r="E17" s="60">
        <f>'Resumo dos cursos'!P16</f>
        <v>27</v>
      </c>
      <c r="F17" s="57">
        <f t="shared" si="0"/>
        <v>96.428571428571431</v>
      </c>
      <c r="G17" s="60">
        <f>'Resumo dos cursos'!R16</f>
        <v>1</v>
      </c>
      <c r="H17" s="60">
        <f>'Resumo dos cursos'!S16</f>
        <v>0</v>
      </c>
      <c r="I17" s="60">
        <f>'Resumo dos cursos'!T16</f>
        <v>0</v>
      </c>
      <c r="J17" s="91">
        <f>'Resumo dos cursos'!U16</f>
        <v>0</v>
      </c>
    </row>
    <row r="18" spans="1:10" ht="38.25" hidden="1" x14ac:dyDescent="0.25">
      <c r="A18" s="90" t="str">
        <f>IF('Controle adm. dos cursos'!H17=2021,'Controle adm. dos cursos'!D17," ")</f>
        <v>Conhecimentos Básicos para Integrantes da Rede Estadual de Emergência de Radioamadores</v>
      </c>
      <c r="B18" s="98" t="str">
        <f>'Controle adm. dos cursos'!G17</f>
        <v>Turma II 2021</v>
      </c>
      <c r="C18" s="60">
        <f>'Resumo dos cursos'!N17</f>
        <v>40</v>
      </c>
      <c r="D18" s="60">
        <f>'Resumo dos cursos'!O17</f>
        <v>40</v>
      </c>
      <c r="E18" s="60">
        <f>'Resumo dos cursos'!P17</f>
        <v>12</v>
      </c>
      <c r="F18" s="57">
        <f t="shared" si="0"/>
        <v>30</v>
      </c>
      <c r="G18" s="60">
        <f>'Resumo dos cursos'!R17</f>
        <v>4</v>
      </c>
      <c r="H18" s="60">
        <f>'Resumo dos cursos'!S17</f>
        <v>2</v>
      </c>
      <c r="I18" s="60">
        <f>'Resumo dos cursos'!T17</f>
        <v>0</v>
      </c>
      <c r="J18" s="91">
        <f>'Resumo dos cursos'!U17</f>
        <v>22</v>
      </c>
    </row>
    <row r="19" spans="1:10" ht="38.25" hidden="1" x14ac:dyDescent="0.25">
      <c r="A19" s="90" t="str">
        <f>IF('Controle adm. dos cursos'!H18=2021,'Controle adm. dos cursos'!D18," ")</f>
        <v>Conhecimentos Fundamentais para Gestores Municipais de Proteção e Defesa Civil</v>
      </c>
      <c r="B19" s="98" t="str">
        <f>'Controle adm. dos cursos'!G18</f>
        <v>Turma II 2021</v>
      </c>
      <c r="C19" s="60">
        <f>'Resumo dos cursos'!N18</f>
        <v>34</v>
      </c>
      <c r="D19" s="60">
        <f>'Resumo dos cursos'!O18</f>
        <v>34</v>
      </c>
      <c r="E19" s="60">
        <f>'Resumo dos cursos'!P18</f>
        <v>22</v>
      </c>
      <c r="F19" s="57">
        <f t="shared" si="0"/>
        <v>64.705882352941174</v>
      </c>
      <c r="G19" s="60">
        <f>'Resumo dos cursos'!R18</f>
        <v>1</v>
      </c>
      <c r="H19" s="60">
        <f>'Resumo dos cursos'!S18</f>
        <v>0</v>
      </c>
      <c r="I19" s="60">
        <f>'Resumo dos cursos'!T18</f>
        <v>11</v>
      </c>
      <c r="J19" s="91">
        <f>'Resumo dos cursos'!U18</f>
        <v>0</v>
      </c>
    </row>
    <row r="20" spans="1:10" hidden="1" x14ac:dyDescent="0.25">
      <c r="A20" s="99" t="str">
        <f>IF('Controle adm. dos cursos'!H19=2021,'Controle adm. dos cursos'!D19," ")</f>
        <v>Sistema de Comando de Incidentes</v>
      </c>
      <c r="B20" s="115" t="str">
        <f>'Controle adm. dos cursos'!G19</f>
        <v>Turma COSMO  2021</v>
      </c>
      <c r="C20" s="103">
        <f>'Resumo dos cursos'!N19</f>
        <v>48</v>
      </c>
      <c r="D20" s="103">
        <f>'Resumo dos cursos'!O19</f>
        <v>48</v>
      </c>
      <c r="E20" s="103">
        <f>'Resumo dos cursos'!P19</f>
        <v>26</v>
      </c>
      <c r="F20" s="104">
        <f t="shared" si="0"/>
        <v>54.166666666666664</v>
      </c>
      <c r="G20" s="103">
        <f>'Resumo dos cursos'!R19</f>
        <v>5</v>
      </c>
      <c r="H20" s="103">
        <f>'Resumo dos cursos'!S19</f>
        <v>5</v>
      </c>
      <c r="I20" s="103">
        <f>'Resumo dos cursos'!T19</f>
        <v>12</v>
      </c>
      <c r="J20" s="105">
        <f>'Resumo dos cursos'!U19</f>
        <v>0</v>
      </c>
    </row>
    <row r="21" spans="1:10" ht="25.5" hidden="1" x14ac:dyDescent="0.25">
      <c r="A21" s="88" t="str">
        <f>IF('Controle adm. dos cursos'!H20=2022,'Controle adm. dos cursos'!D20," ")</f>
        <v>Atendimento a Emergências com Produtos Perigosos</v>
      </c>
      <c r="B21" s="116" t="str">
        <f>'Controle adm. dos cursos'!G20</f>
        <v>Turma I 2022</v>
      </c>
      <c r="C21" s="55">
        <f>'Resumo dos cursos'!N20</f>
        <v>54</v>
      </c>
      <c r="D21" s="55">
        <f>'Resumo dos cursos'!O20</f>
        <v>54</v>
      </c>
      <c r="E21" s="55">
        <f>'Resumo dos cursos'!P20</f>
        <v>33</v>
      </c>
      <c r="F21" s="106">
        <f t="shared" si="0"/>
        <v>61.111111111111114</v>
      </c>
      <c r="G21" s="55">
        <f>'Resumo dos cursos'!R20</f>
        <v>0</v>
      </c>
      <c r="H21" s="55">
        <f>'Resumo dos cursos'!S20</f>
        <v>8</v>
      </c>
      <c r="I21" s="55">
        <f>'Resumo dos cursos'!T20</f>
        <v>13</v>
      </c>
      <c r="J21" s="89">
        <f>'Resumo dos cursos'!U20</f>
        <v>0</v>
      </c>
    </row>
    <row r="22" spans="1:10" ht="14.25" hidden="1" customHeight="1" x14ac:dyDescent="0.25">
      <c r="A22" s="90" t="str">
        <f>IF('Controle adm. dos cursos'!H21=2022,'Controle adm. dos cursos'!D21," ")</f>
        <v>Sistema de Comando de Incidentes</v>
      </c>
      <c r="B22" s="98" t="str">
        <f>'Controle adm. dos cursos'!G21</f>
        <v>Turma: IMUV</v>
      </c>
      <c r="C22" s="60">
        <f>'Resumo dos cursos'!N21</f>
        <v>297</v>
      </c>
      <c r="D22" s="60">
        <f>'Resumo dos cursos'!O21</f>
        <v>297</v>
      </c>
      <c r="E22" s="60">
        <f>'Resumo dos cursos'!P21</f>
        <v>57</v>
      </c>
      <c r="F22" s="57">
        <f t="shared" si="0"/>
        <v>19.19191919191919</v>
      </c>
      <c r="G22" s="60">
        <f>'Resumo dos cursos'!R21</f>
        <v>8</v>
      </c>
      <c r="H22" s="60">
        <f>'Resumo dos cursos'!S21</f>
        <v>6</v>
      </c>
      <c r="I22" s="60">
        <f>'Resumo dos cursos'!T21</f>
        <v>26</v>
      </c>
      <c r="J22" s="91">
        <f>'Resumo dos cursos'!U21</f>
        <v>200</v>
      </c>
    </row>
    <row r="23" spans="1:10" ht="25.5" hidden="1" customHeight="1" x14ac:dyDescent="0.25">
      <c r="A23" s="90" t="str">
        <f>IF('Controle adm. dos cursos'!H22=2022,'Controle adm. dos cursos'!D22," ")</f>
        <v>Curso de Prevenção e Combate a Incêndios Florestais</v>
      </c>
      <c r="B23" s="98" t="str">
        <f>'Controle adm. dos cursos'!G22</f>
        <v>TURMA Vila Velha</v>
      </c>
      <c r="C23" s="60">
        <f>'Resumo dos cursos'!N22</f>
        <v>36</v>
      </c>
      <c r="D23" s="60">
        <f>'Resumo dos cursos'!O22</f>
        <v>36</v>
      </c>
      <c r="E23" s="60">
        <f>'Resumo dos cursos'!P22</f>
        <v>36</v>
      </c>
      <c r="F23" s="57">
        <f t="shared" si="0"/>
        <v>100</v>
      </c>
      <c r="G23" s="60">
        <f>'Resumo dos cursos'!R22</f>
        <v>0</v>
      </c>
      <c r="H23" s="60">
        <f>'Resumo dos cursos'!S22</f>
        <v>0</v>
      </c>
      <c r="I23" s="60">
        <f>'Resumo dos cursos'!T22</f>
        <v>0</v>
      </c>
      <c r="J23" s="91">
        <f>'Resumo dos cursos'!U22</f>
        <v>0</v>
      </c>
    </row>
    <row r="24" spans="1:10" hidden="1" x14ac:dyDescent="0.25">
      <c r="A24" s="90" t="str">
        <f>IF('Controle adm. dos cursos'!H23=2022,'Controle adm. dos cursos'!D23," ")</f>
        <v>Sistema de Comando de Incidentes</v>
      </c>
      <c r="B24" s="98" t="str">
        <f>'Controle adm. dos cursos'!G23</f>
        <v>Turma I Orgãos de Apoio CEDEC</v>
      </c>
      <c r="C24" s="60">
        <f>'Resumo dos cursos'!N23</f>
        <v>185</v>
      </c>
      <c r="D24" s="60">
        <f>'Resumo dos cursos'!O23</f>
        <v>185</v>
      </c>
      <c r="E24" s="60">
        <f>'Resumo dos cursos'!P23</f>
        <v>120</v>
      </c>
      <c r="F24" s="57">
        <f t="shared" si="0"/>
        <v>64.86486486486487</v>
      </c>
      <c r="G24" s="60">
        <f>'Resumo dos cursos'!R23</f>
        <v>12</v>
      </c>
      <c r="H24" s="60">
        <f>'Resumo dos cursos'!S23</f>
        <v>10</v>
      </c>
      <c r="I24" s="60">
        <f>'Resumo dos cursos'!T23</f>
        <v>43</v>
      </c>
      <c r="J24" s="91">
        <f>'Resumo dos cursos'!U23</f>
        <v>0</v>
      </c>
    </row>
    <row r="25" spans="1:10" ht="38.25" hidden="1" x14ac:dyDescent="0.25">
      <c r="A25" s="90" t="str">
        <f>IF('Controle adm. dos cursos'!H24=2022,'Controle adm. dos cursos'!D24," ")</f>
        <v>Conhecimentos Fundamentais para Gestores Municipais de Proteção e Defesa Civil</v>
      </c>
      <c r="B25" s="98" t="str">
        <f>'Controle adm. dos cursos'!G24</f>
        <v>Turma I 2022</v>
      </c>
      <c r="C25" s="60">
        <f>'Resumo dos cursos'!N24</f>
        <v>40</v>
      </c>
      <c r="D25" s="60">
        <f>'Resumo dos cursos'!O24</f>
        <v>40</v>
      </c>
      <c r="E25" s="60">
        <f>'Resumo dos cursos'!P24</f>
        <v>24</v>
      </c>
      <c r="F25" s="57">
        <f t="shared" si="0"/>
        <v>60</v>
      </c>
      <c r="G25" s="60">
        <f>'Resumo dos cursos'!R24</f>
        <v>2</v>
      </c>
      <c r="H25" s="60">
        <f>'Resumo dos cursos'!S24</f>
        <v>0</v>
      </c>
      <c r="I25" s="60">
        <f>'Resumo dos cursos'!T24</f>
        <v>14</v>
      </c>
      <c r="J25" s="91">
        <f>'Resumo dos cursos'!U24</f>
        <v>0</v>
      </c>
    </row>
    <row r="26" spans="1:10" ht="14.25" hidden="1" customHeight="1" x14ac:dyDescent="0.25">
      <c r="A26" s="90" t="str">
        <f>IF('Controle adm. dos cursos'!H25=2022,'Controle adm. dos cursos'!D25," ")</f>
        <v>Sistema de Comando de Incidentes</v>
      </c>
      <c r="B26" s="98" t="str">
        <f>'Controle adm. dos cursos'!G25</f>
        <v>Turma MT</v>
      </c>
      <c r="C26" s="60">
        <f>'Resumo dos cursos'!N25</f>
        <v>177</v>
      </c>
      <c r="D26" s="60">
        <f>'Resumo dos cursos'!O25</f>
        <v>177</v>
      </c>
      <c r="E26" s="60">
        <f>'Resumo dos cursos'!P25</f>
        <v>155</v>
      </c>
      <c r="F26" s="57">
        <f t="shared" si="0"/>
        <v>87.570621468926561</v>
      </c>
      <c r="G26" s="60">
        <f>'Resumo dos cursos'!R25</f>
        <v>4</v>
      </c>
      <c r="H26" s="60">
        <f>'Resumo dos cursos'!S25</f>
        <v>2</v>
      </c>
      <c r="I26" s="60">
        <f>'Resumo dos cursos'!T25</f>
        <v>15</v>
      </c>
      <c r="J26" s="91">
        <f>'Resumo dos cursos'!U25</f>
        <v>1</v>
      </c>
    </row>
    <row r="27" spans="1:10" ht="25.5" hidden="1" x14ac:dyDescent="0.25">
      <c r="A27" s="90" t="str">
        <f>IF('Controle adm. dos cursos'!H26=2022,'Controle adm. dos cursos'!D26," ")</f>
        <v>RISCOS E DESASTRES: conhecimentos fundamentais</v>
      </c>
      <c r="B27" s="98" t="str">
        <f>'Controle adm. dos cursos'!G26</f>
        <v>Turma I 2022</v>
      </c>
      <c r="C27" s="60">
        <f>'Resumo dos cursos'!N26</f>
        <v>86</v>
      </c>
      <c r="D27" s="60">
        <f>'Resumo dos cursos'!O26</f>
        <v>86</v>
      </c>
      <c r="E27" s="60">
        <f>'Resumo dos cursos'!P26</f>
        <v>55</v>
      </c>
      <c r="F27" s="57">
        <f t="shared" si="0"/>
        <v>63.953488372093027</v>
      </c>
      <c r="G27" s="60">
        <f>'Resumo dos cursos'!R26</f>
        <v>5</v>
      </c>
      <c r="H27" s="60">
        <f>'Resumo dos cursos'!S26</f>
        <v>8</v>
      </c>
      <c r="I27" s="60">
        <f>'Resumo dos cursos'!T26</f>
        <v>16</v>
      </c>
      <c r="J27" s="91">
        <f>'Resumo dos cursos'!U26</f>
        <v>2</v>
      </c>
    </row>
    <row r="28" spans="1:10" ht="38.25" hidden="1" x14ac:dyDescent="0.25">
      <c r="A28" s="90" t="str">
        <f>IF('Controle adm. dos cursos'!H27=2022,'Controle adm. dos cursos'!D27," ")</f>
        <v>Conhecimentos Fundamentais para Gestores Municipais de Proteção e Defesa Civil</v>
      </c>
      <c r="B28" s="98" t="str">
        <f>'Controle adm. dos cursos'!G27</f>
        <v>Turma II 2022</v>
      </c>
      <c r="C28" s="60">
        <f>'Resumo dos cursos'!N27</f>
        <v>30</v>
      </c>
      <c r="D28" s="60">
        <f>'Resumo dos cursos'!O27</f>
        <v>30</v>
      </c>
      <c r="E28" s="60">
        <f>'Resumo dos cursos'!P27</f>
        <v>22</v>
      </c>
      <c r="F28" s="57">
        <f t="shared" si="0"/>
        <v>73.333333333333329</v>
      </c>
      <c r="G28" s="60">
        <f>'Resumo dos cursos'!R27</f>
        <v>1</v>
      </c>
      <c r="H28" s="60">
        <f>'Resumo dos cursos'!S27</f>
        <v>0</v>
      </c>
      <c r="I28" s="60">
        <f>'Resumo dos cursos'!T27</f>
        <v>7</v>
      </c>
      <c r="J28" s="91">
        <f>'Resumo dos cursos'!U27</f>
        <v>0</v>
      </c>
    </row>
    <row r="29" spans="1:10" ht="25.5" hidden="1" x14ac:dyDescent="0.25">
      <c r="A29" s="90" t="str">
        <f>IF('Controle adm. dos cursos'!H28=2022,'Controle adm. dos cursos'!D28," ")</f>
        <v>Curso de Prevenção e Combate a Incêndios Florestais</v>
      </c>
      <c r="B29" s="98" t="str">
        <f>'Controle adm. dos cursos'!G28</f>
        <v>TURMA Floresta Metropolitana</v>
      </c>
      <c r="C29" s="60">
        <f>'Resumo dos cursos'!N28</f>
        <v>32</v>
      </c>
      <c r="D29" s="60">
        <f>'Resumo dos cursos'!O28</f>
        <v>32</v>
      </c>
      <c r="E29" s="60">
        <f>'Resumo dos cursos'!P28</f>
        <v>32</v>
      </c>
      <c r="F29" s="57">
        <f t="shared" si="0"/>
        <v>100</v>
      </c>
      <c r="G29" s="60">
        <f>'Resumo dos cursos'!R28</f>
        <v>0</v>
      </c>
      <c r="H29" s="60">
        <f>'Resumo dos cursos'!S28</f>
        <v>0</v>
      </c>
      <c r="I29" s="60">
        <f>'Resumo dos cursos'!T28</f>
        <v>0</v>
      </c>
      <c r="J29" s="91">
        <f>'Resumo dos cursos'!U28</f>
        <v>0</v>
      </c>
    </row>
    <row r="30" spans="1:10" ht="38.25" hidden="1" x14ac:dyDescent="0.25">
      <c r="A30" s="90" t="str">
        <f>IF('Controle adm. dos cursos'!H29=2022,'Controle adm. dos cursos'!D29," ")</f>
        <v>Conhecimentos Básicos para Integrantes da Rede Estadual de Emergência de Radioamadores</v>
      </c>
      <c r="B30" s="98" t="str">
        <f>'Controle adm. dos cursos'!G29</f>
        <v>Turma I 2022</v>
      </c>
      <c r="C30" s="60">
        <f>'Resumo dos cursos'!N29</f>
        <v>22</v>
      </c>
      <c r="D30" s="60">
        <f>'Resumo dos cursos'!O29</f>
        <v>22</v>
      </c>
      <c r="E30" s="60">
        <f>'Resumo dos cursos'!P29</f>
        <v>18</v>
      </c>
      <c r="F30" s="57">
        <f t="shared" si="0"/>
        <v>81.818181818181813</v>
      </c>
      <c r="G30" s="60">
        <f>'Resumo dos cursos'!R29</f>
        <v>2</v>
      </c>
      <c r="H30" s="60">
        <f>'Resumo dos cursos'!S29</f>
        <v>0</v>
      </c>
      <c r="I30" s="60">
        <f>'Resumo dos cursos'!T29</f>
        <v>2</v>
      </c>
      <c r="J30" s="91">
        <f>'Resumo dos cursos'!U29</f>
        <v>0</v>
      </c>
    </row>
    <row r="31" spans="1:10" ht="14.25" hidden="1" customHeight="1" x14ac:dyDescent="0.25">
      <c r="A31" s="90" t="str">
        <f>IF('Controle adm. dos cursos'!H30=2022,'Controle adm. dos cursos'!D30," ")</f>
        <v>Sistema de Comando de Incidentes</v>
      </c>
      <c r="B31" s="98" t="str">
        <f>'Controle adm. dos cursos'!G30</f>
        <v>Turma I 2022</v>
      </c>
      <c r="C31" s="60">
        <f>'Resumo dos cursos'!N30</f>
        <v>98</v>
      </c>
      <c r="D31" s="60">
        <f>'Resumo dos cursos'!O30</f>
        <v>98</v>
      </c>
      <c r="E31" s="60">
        <f>'Resumo dos cursos'!P30</f>
        <v>60</v>
      </c>
      <c r="F31" s="57">
        <f t="shared" si="0"/>
        <v>61.224489795918366</v>
      </c>
      <c r="G31" s="60">
        <f>'Resumo dos cursos'!R30</f>
        <v>7</v>
      </c>
      <c r="H31" s="60">
        <f>'Resumo dos cursos'!S30</f>
        <v>2</v>
      </c>
      <c r="I31" s="60">
        <f>'Resumo dos cursos'!T30</f>
        <v>29</v>
      </c>
      <c r="J31" s="91">
        <f>'Resumo dos cursos'!U30</f>
        <v>0</v>
      </c>
    </row>
    <row r="32" spans="1:10" ht="22.5" hidden="1" customHeight="1" x14ac:dyDescent="0.25">
      <c r="A32" s="90" t="str">
        <f>IF('Controle adm. dos cursos'!H31=2022,'Controle adm. dos cursos'!D31," ")</f>
        <v>Sistema de Comando de Incidentes</v>
      </c>
      <c r="B32" s="98" t="str">
        <f>'Controle adm. dos cursos'!G31</f>
        <v>Turma AGRO-SET</v>
      </c>
      <c r="C32" s="60">
        <f>'Resumo dos cursos'!N31</f>
        <v>176</v>
      </c>
      <c r="D32" s="60">
        <f>'Resumo dos cursos'!O31</f>
        <v>176</v>
      </c>
      <c r="E32" s="60">
        <f>'Resumo dos cursos'!P31</f>
        <v>142</v>
      </c>
      <c r="F32" s="57">
        <f t="shared" si="0"/>
        <v>80.681818181818187</v>
      </c>
      <c r="G32" s="60">
        <f>'Resumo dos cursos'!R31</f>
        <v>3</v>
      </c>
      <c r="H32" s="60">
        <f>'Resumo dos cursos'!S31</f>
        <v>7</v>
      </c>
      <c r="I32" s="60">
        <f>'Resumo dos cursos'!T31</f>
        <v>24</v>
      </c>
      <c r="J32" s="91">
        <f>'Resumo dos cursos'!U31</f>
        <v>0</v>
      </c>
    </row>
    <row r="33" spans="1:10" ht="25.5" hidden="1" customHeight="1" x14ac:dyDescent="0.25">
      <c r="A33" s="90" t="str">
        <f>IF('Controle adm. dos cursos'!H32=2022,'Controle adm. dos cursos'!D32," ")</f>
        <v>Atendimento de Emergências em Edificações</v>
      </c>
      <c r="B33" s="98" t="str">
        <f>'Controle adm. dos cursos'!G32</f>
        <v>Turma QCG</v>
      </c>
      <c r="C33" s="60">
        <f>'Resumo dos cursos'!N32</f>
        <v>782</v>
      </c>
      <c r="D33" s="60">
        <f>'Resumo dos cursos'!O32</f>
        <v>782</v>
      </c>
      <c r="E33" s="60">
        <f>'Resumo dos cursos'!P32</f>
        <v>681</v>
      </c>
      <c r="F33" s="57">
        <f t="shared" si="0"/>
        <v>87.084398976982101</v>
      </c>
      <c r="G33" s="60">
        <f>'Resumo dos cursos'!R32</f>
        <v>24</v>
      </c>
      <c r="H33" s="60">
        <f>'Resumo dos cursos'!S32</f>
        <v>23</v>
      </c>
      <c r="I33" s="60">
        <f>'Resumo dos cursos'!T32</f>
        <v>54</v>
      </c>
      <c r="J33" s="91">
        <f>'Resumo dos cursos'!U32</f>
        <v>0</v>
      </c>
    </row>
    <row r="34" spans="1:10" ht="25.5" hidden="1" x14ac:dyDescent="0.25">
      <c r="A34" s="90" t="str">
        <f>IF('Controle adm. dos cursos'!H33=2022,'Controle adm. dos cursos'!D33," ")</f>
        <v>RISCOS E DESASTRES: conhecimentos fundamentais</v>
      </c>
      <c r="B34" s="98" t="str">
        <f>'Controle adm. dos cursos'!G33</f>
        <v>Turma II 2022</v>
      </c>
      <c r="C34" s="60">
        <f>'Resumo dos cursos'!N33</f>
        <v>46</v>
      </c>
      <c r="D34" s="60">
        <f>'Resumo dos cursos'!O33</f>
        <v>46</v>
      </c>
      <c r="E34" s="60">
        <f>'Resumo dos cursos'!P33</f>
        <v>7</v>
      </c>
      <c r="F34" s="57">
        <f t="shared" si="0"/>
        <v>15.217391304347826</v>
      </c>
      <c r="G34" s="60">
        <f>'Resumo dos cursos'!R33</f>
        <v>1</v>
      </c>
      <c r="H34" s="60">
        <f>'Resumo dos cursos'!S33</f>
        <v>1</v>
      </c>
      <c r="I34" s="60">
        <f>'Resumo dos cursos'!T33</f>
        <v>37</v>
      </c>
      <c r="J34" s="91">
        <f>'Resumo dos cursos'!U33</f>
        <v>0</v>
      </c>
    </row>
    <row r="35" spans="1:10" hidden="1" x14ac:dyDescent="0.25">
      <c r="A35" s="90" t="str">
        <f>IF('Controle adm. dos cursos'!H34=2022,'Controle adm. dos cursos'!D34," ")</f>
        <v>Sistema de Comando de Incidentes</v>
      </c>
      <c r="B35" s="98" t="str">
        <f>'Controle adm. dos cursos'!G34</f>
        <v>Turma AGRO-OUT</v>
      </c>
      <c r="C35" s="60">
        <f>'Resumo dos cursos'!N34</f>
        <v>164</v>
      </c>
      <c r="D35" s="60">
        <f>'Resumo dos cursos'!O34</f>
        <v>164</v>
      </c>
      <c r="E35" s="60">
        <f>'Resumo dos cursos'!P34</f>
        <v>150</v>
      </c>
      <c r="F35" s="57">
        <f t="shared" si="0"/>
        <v>91.463414634146346</v>
      </c>
      <c r="G35" s="60">
        <f>'Resumo dos cursos'!R34</f>
        <v>4</v>
      </c>
      <c r="H35" s="60">
        <f>'Resumo dos cursos'!S34</f>
        <v>3</v>
      </c>
      <c r="I35" s="60">
        <f>'Resumo dos cursos'!T34</f>
        <v>7</v>
      </c>
      <c r="J35" s="91">
        <f>'Resumo dos cursos'!U34</f>
        <v>0</v>
      </c>
    </row>
    <row r="36" spans="1:10" ht="38.25" hidden="1" x14ac:dyDescent="0.25">
      <c r="A36" s="90" t="str">
        <f>IF('Controle adm. dos cursos'!H35=2023,'Controle adm. dos cursos'!D35," ")</f>
        <v>Conhecimentos Fundamentais para Gestores Municipais de Proteção e Defesa Civil</v>
      </c>
      <c r="B36" s="98" t="str">
        <f>'Controle adm. dos cursos'!G35</f>
        <v>Turma I 2023</v>
      </c>
      <c r="C36" s="60">
        <f>'Resumo dos cursos'!N35</f>
        <v>28</v>
      </c>
      <c r="D36" s="60">
        <f>'Resumo dos cursos'!O35</f>
        <v>28</v>
      </c>
      <c r="E36" s="60">
        <f>'Resumo dos cursos'!P35</f>
        <v>17</v>
      </c>
      <c r="F36" s="57">
        <f t="shared" ref="F36:F67" si="1">IFERROR(((E36*100)/D36),0)</f>
        <v>60.714285714285715</v>
      </c>
      <c r="G36" s="60">
        <f>'Resumo dos cursos'!R35</f>
        <v>0</v>
      </c>
      <c r="H36" s="60">
        <f>'Resumo dos cursos'!S35</f>
        <v>11</v>
      </c>
      <c r="I36" s="60">
        <f>'Resumo dos cursos'!T35</f>
        <v>0</v>
      </c>
      <c r="J36" s="91">
        <f>'Resumo dos cursos'!U35</f>
        <v>0</v>
      </c>
    </row>
    <row r="37" spans="1:10" ht="25.5" hidden="1" x14ac:dyDescent="0.25">
      <c r="A37" s="90" t="str">
        <f>IF('Controle adm. dos cursos'!H36=2023,'Controle adm. dos cursos'!D36," ")</f>
        <v>RISCOS E DESASTRES: conhecimentos fundamentais</v>
      </c>
      <c r="B37" s="98" t="str">
        <f>'Controle adm. dos cursos'!G36</f>
        <v>Turma I 2023</v>
      </c>
      <c r="C37" s="60">
        <f>'Resumo dos cursos'!N36</f>
        <v>67</v>
      </c>
      <c r="D37" s="60">
        <f>'Resumo dos cursos'!O36</f>
        <v>67</v>
      </c>
      <c r="E37" s="60">
        <f>'Resumo dos cursos'!P36</f>
        <v>26</v>
      </c>
      <c r="F37" s="57">
        <f t="shared" si="1"/>
        <v>38.805970149253731</v>
      </c>
      <c r="G37" s="60">
        <f>'Resumo dos cursos'!R36</f>
        <v>4</v>
      </c>
      <c r="H37" s="60">
        <f>'Resumo dos cursos'!S36</f>
        <v>5</v>
      </c>
      <c r="I37" s="60">
        <f>'Resumo dos cursos'!T36</f>
        <v>32</v>
      </c>
      <c r="J37" s="91">
        <f>'Resumo dos cursos'!U36</f>
        <v>0</v>
      </c>
    </row>
    <row r="38" spans="1:10" ht="25.5" hidden="1" x14ac:dyDescent="0.25">
      <c r="A38" s="90" t="str">
        <f>IF('Controle adm. dos cursos'!H37=2023,'Controle adm. dos cursos'!D37," ")</f>
        <v>Atendimento de Emergências em Edificações</v>
      </c>
      <c r="B38" s="98" t="str">
        <f>'Controle adm. dos cursos'!G37</f>
        <v>Turma SESP</v>
      </c>
      <c r="C38" s="60">
        <f>'Resumo dos cursos'!N37</f>
        <v>278</v>
      </c>
      <c r="D38" s="60">
        <f>'Resumo dos cursos'!O37</f>
        <v>278</v>
      </c>
      <c r="E38" s="60">
        <f>'Resumo dos cursos'!P37</f>
        <v>211</v>
      </c>
      <c r="F38" s="57">
        <f t="shared" si="1"/>
        <v>75.899280575539564</v>
      </c>
      <c r="G38" s="60">
        <f>'Resumo dos cursos'!R37</f>
        <v>34</v>
      </c>
      <c r="H38" s="60">
        <f>'Resumo dos cursos'!S37</f>
        <v>4</v>
      </c>
      <c r="I38" s="60">
        <f>'Resumo dos cursos'!T37</f>
        <v>29</v>
      </c>
      <c r="J38" s="91">
        <f>'Resumo dos cursos'!U37</f>
        <v>0</v>
      </c>
    </row>
    <row r="39" spans="1:10" hidden="1" x14ac:dyDescent="0.25">
      <c r="A39" s="90" t="str">
        <f>IF('Controle adm. dos cursos'!H38=2023,'Controle adm. dos cursos'!D38," ")</f>
        <v>Capacitação Presencial COMPDECs</v>
      </c>
      <c r="B39" s="98" t="str">
        <f>'Controle adm. dos cursos'!G38</f>
        <v>Telêmaco Borba e Ponta Grossa</v>
      </c>
      <c r="C39" s="60">
        <f>'Resumo dos cursos'!N38</f>
        <v>28</v>
      </c>
      <c r="D39" s="60">
        <f>'Resumo dos cursos'!O38</f>
        <v>28</v>
      </c>
      <c r="E39" s="60">
        <f>'Resumo dos cursos'!P38</f>
        <v>28</v>
      </c>
      <c r="F39" s="57">
        <f t="shared" si="1"/>
        <v>100</v>
      </c>
      <c r="G39" s="60">
        <f>'Resumo dos cursos'!R38</f>
        <v>0</v>
      </c>
      <c r="H39" s="60">
        <f>'Resumo dos cursos'!S38</f>
        <v>0</v>
      </c>
      <c r="I39" s="60">
        <f>'Resumo dos cursos'!T38</f>
        <v>0</v>
      </c>
      <c r="J39" s="91">
        <f>'Resumo dos cursos'!U38</f>
        <v>0</v>
      </c>
    </row>
    <row r="40" spans="1:10" ht="25.5" hidden="1" x14ac:dyDescent="0.25">
      <c r="A40" s="90" t="str">
        <f>IF('Controle adm. dos cursos'!H39=2023,'Controle adm. dos cursos'!D39," ")</f>
        <v>Atendimento a Emergências com Produtos Perigosos</v>
      </c>
      <c r="B40" s="98" t="str">
        <f>'Controle adm. dos cursos'!G39</f>
        <v>Turma I 2023</v>
      </c>
      <c r="C40" s="60">
        <f>'Resumo dos cursos'!N39</f>
        <v>311</v>
      </c>
      <c r="D40" s="60">
        <f>'Resumo dos cursos'!O39</f>
        <v>311</v>
      </c>
      <c r="E40" s="60">
        <f>'Resumo dos cursos'!P39</f>
        <v>162</v>
      </c>
      <c r="F40" s="57">
        <f t="shared" si="1"/>
        <v>52.09003215434084</v>
      </c>
      <c r="G40" s="60">
        <f>'Resumo dos cursos'!R39</f>
        <v>6</v>
      </c>
      <c r="H40" s="60">
        <f>'Resumo dos cursos'!S39</f>
        <v>23</v>
      </c>
      <c r="I40" s="60">
        <f>'Resumo dos cursos'!T39</f>
        <v>120</v>
      </c>
      <c r="J40" s="91">
        <f>'Resumo dos cursos'!U39</f>
        <v>0</v>
      </c>
    </row>
    <row r="41" spans="1:10" ht="38.25" hidden="1" x14ac:dyDescent="0.25">
      <c r="A41" s="90" t="str">
        <f>IF('Controle adm. dos cursos'!H40=2023,'Controle adm. dos cursos'!D40," ")</f>
        <v>Conhecimentos Fundamentais para Gestores Municipais de Proteção e Defesa Civil</v>
      </c>
      <c r="B41" s="98" t="str">
        <f>'Controle adm. dos cursos'!G40</f>
        <v>Turma II 2023</v>
      </c>
      <c r="C41" s="60">
        <f>'Resumo dos cursos'!N40</f>
        <v>24</v>
      </c>
      <c r="D41" s="60">
        <f>'Resumo dos cursos'!O40</f>
        <v>24</v>
      </c>
      <c r="E41" s="60">
        <f>'Resumo dos cursos'!P40</f>
        <v>13</v>
      </c>
      <c r="F41" s="57">
        <f t="shared" si="1"/>
        <v>54.166666666666664</v>
      </c>
      <c r="G41" s="60">
        <f>'Resumo dos cursos'!R40</f>
        <v>0</v>
      </c>
      <c r="H41" s="60">
        <f>'Resumo dos cursos'!S40</f>
        <v>11</v>
      </c>
      <c r="I41" s="60">
        <f>'Resumo dos cursos'!T40</f>
        <v>0</v>
      </c>
      <c r="J41" s="91">
        <f>'Resumo dos cursos'!U40</f>
        <v>0</v>
      </c>
    </row>
    <row r="42" spans="1:10" ht="25.5" hidden="1" x14ac:dyDescent="0.25">
      <c r="A42" s="90" t="str">
        <f>IF('Controle adm. dos cursos'!H41=2023,'Controle adm. dos cursos'!D41," ")</f>
        <v>Formação de Brigadistas Escolares e Monitores de Segurança</v>
      </c>
      <c r="B42" s="98" t="str">
        <f>'Controle adm. dos cursos'!G41</f>
        <v>Turma I 2023</v>
      </c>
      <c r="C42" s="61">
        <f>'Resumo dos cursos'!N41</f>
        <v>13955</v>
      </c>
      <c r="D42" s="61">
        <f>'Resumo dos cursos'!O41</f>
        <v>13955</v>
      </c>
      <c r="E42" s="61">
        <f>'Resumo dos cursos'!P41</f>
        <v>11098</v>
      </c>
      <c r="F42" s="57">
        <f t="shared" si="1"/>
        <v>79.527051236116094</v>
      </c>
      <c r="G42" s="61">
        <f>'Resumo dos cursos'!R41</f>
        <v>872</v>
      </c>
      <c r="H42" s="61">
        <f>'Resumo dos cursos'!S41</f>
        <v>619</v>
      </c>
      <c r="I42" s="61">
        <f>'Resumo dos cursos'!T41</f>
        <v>1366</v>
      </c>
      <c r="J42" s="62">
        <f>'Resumo dos cursos'!U41</f>
        <v>0</v>
      </c>
    </row>
    <row r="43" spans="1:10" hidden="1" x14ac:dyDescent="0.25">
      <c r="A43" s="90" t="str">
        <f>IF('Controle adm. dos cursos'!H42=2023,'Controle adm. dos cursos'!D42," ")</f>
        <v>Capacitação Presencial COMPDECs</v>
      </c>
      <c r="B43" s="98" t="str">
        <f>'Controle adm. dos cursos'!G42</f>
        <v>Umuarama</v>
      </c>
      <c r="C43" s="60">
        <f>'Resumo dos cursos'!N42</f>
        <v>12</v>
      </c>
      <c r="D43" s="60">
        <f>'Resumo dos cursos'!O42</f>
        <v>12</v>
      </c>
      <c r="E43" s="60">
        <f>'Resumo dos cursos'!P42</f>
        <v>12</v>
      </c>
      <c r="F43" s="57">
        <f t="shared" si="1"/>
        <v>100</v>
      </c>
      <c r="G43" s="60">
        <f>'Resumo dos cursos'!R42</f>
        <v>0</v>
      </c>
      <c r="H43" s="60">
        <f>'Resumo dos cursos'!S42</f>
        <v>0</v>
      </c>
      <c r="I43" s="60">
        <f>'Resumo dos cursos'!T42</f>
        <v>0</v>
      </c>
      <c r="J43" s="91">
        <f>'Resumo dos cursos'!U42</f>
        <v>0</v>
      </c>
    </row>
    <row r="44" spans="1:10" ht="25.5" hidden="1" x14ac:dyDescent="0.25">
      <c r="A44" s="90" t="str">
        <f>IF('Controle adm. dos cursos'!H43=2023,'Controle adm. dos cursos'!D43," ")</f>
        <v>Capacitação em Brigadistas Civis Voluntários</v>
      </c>
      <c r="B44" s="98" t="str">
        <f>'Controle adm. dos cursos'!G43</f>
        <v>Turma I 2023</v>
      </c>
      <c r="C44" s="60">
        <f>'Resumo dos cursos'!N43</f>
        <v>318</v>
      </c>
      <c r="D44" s="60">
        <f>'Resumo dos cursos'!O43</f>
        <v>318</v>
      </c>
      <c r="E44" s="60">
        <f>'Resumo dos cursos'!P43</f>
        <v>64</v>
      </c>
      <c r="F44" s="57">
        <f t="shared" si="1"/>
        <v>20.125786163522012</v>
      </c>
      <c r="G44" s="60">
        <f>'Resumo dos cursos'!R43</f>
        <v>7</v>
      </c>
      <c r="H44" s="60">
        <f>'Resumo dos cursos'!S43</f>
        <v>146</v>
      </c>
      <c r="I44" s="60">
        <f>'Resumo dos cursos'!T43</f>
        <v>101</v>
      </c>
      <c r="J44" s="91">
        <f>'Resumo dos cursos'!U43</f>
        <v>0</v>
      </c>
    </row>
    <row r="45" spans="1:10" hidden="1" x14ac:dyDescent="0.25">
      <c r="A45" s="90" t="str">
        <f>IF('Controle adm. dos cursos'!H44=2023,'Controle adm. dos cursos'!D44," ")</f>
        <v>Capacitação Presencial COMPDECs</v>
      </c>
      <c r="B45" s="98" t="str">
        <f>'Controle adm. dos cursos'!G44</f>
        <v>Francisco Beltrão</v>
      </c>
      <c r="C45" s="60">
        <f>'Resumo dos cursos'!N44</f>
        <v>11</v>
      </c>
      <c r="D45" s="60">
        <f>'Resumo dos cursos'!O44</f>
        <v>11</v>
      </c>
      <c r="E45" s="60">
        <f>'Resumo dos cursos'!P44</f>
        <v>11</v>
      </c>
      <c r="F45" s="57">
        <f t="shared" si="1"/>
        <v>100</v>
      </c>
      <c r="G45" s="60">
        <f>'Resumo dos cursos'!R44</f>
        <v>0</v>
      </c>
      <c r="H45" s="60">
        <f>'Resumo dos cursos'!S44</f>
        <v>0</v>
      </c>
      <c r="I45" s="60">
        <f>'Resumo dos cursos'!T44</f>
        <v>0</v>
      </c>
      <c r="J45" s="91">
        <f>'Resumo dos cursos'!U44</f>
        <v>0</v>
      </c>
    </row>
    <row r="46" spans="1:10" ht="38.25" hidden="1" x14ac:dyDescent="0.25">
      <c r="A46" s="90" t="str">
        <f>IF('Controle adm. dos cursos'!H45=2023,'Controle adm. dos cursos'!D45," ")</f>
        <v>Conhecimentos Básicos para Integrantes da Rede Estadual de Emergência de Radioamadores</v>
      </c>
      <c r="B46" s="98" t="str">
        <f>'Controle adm. dos cursos'!G45</f>
        <v>Turma I 2023</v>
      </c>
      <c r="C46" s="60">
        <f>'Resumo dos cursos'!N45</f>
        <v>55</v>
      </c>
      <c r="D46" s="60">
        <f>'Resumo dos cursos'!O45</f>
        <v>55</v>
      </c>
      <c r="E46" s="60">
        <f>'Resumo dos cursos'!P45</f>
        <v>42</v>
      </c>
      <c r="F46" s="57">
        <f t="shared" si="1"/>
        <v>76.36363636363636</v>
      </c>
      <c r="G46" s="60">
        <f>'Resumo dos cursos'!R45</f>
        <v>3</v>
      </c>
      <c r="H46" s="60">
        <f>'Resumo dos cursos'!S45</f>
        <v>0</v>
      </c>
      <c r="I46" s="60">
        <f>'Resumo dos cursos'!T45</f>
        <v>10</v>
      </c>
      <c r="J46" s="91">
        <f>'Resumo dos cursos'!U45</f>
        <v>0</v>
      </c>
    </row>
    <row r="47" spans="1:10" hidden="1" x14ac:dyDescent="0.25">
      <c r="A47" s="90" t="str">
        <f>IF('Controle adm. dos cursos'!H48=2023,'Controle adm. dos cursos'!D48," ")</f>
        <v>Capacitação Presencial COMPDECs</v>
      </c>
      <c r="B47" s="98" t="str">
        <f>'Controle adm. dos cursos'!G48</f>
        <v>Paranavaí</v>
      </c>
      <c r="C47" s="60">
        <f>'Resumo dos cursos'!N50</f>
        <v>1</v>
      </c>
      <c r="D47" s="60">
        <f>'Resumo dos cursos'!O50</f>
        <v>1</v>
      </c>
      <c r="E47" s="60">
        <f>'Resumo dos cursos'!P50</f>
        <v>0</v>
      </c>
      <c r="F47" s="57">
        <f t="shared" si="1"/>
        <v>0</v>
      </c>
      <c r="G47" s="60">
        <f>'Resumo dos cursos'!R50</f>
        <v>0</v>
      </c>
      <c r="H47" s="60">
        <f>'Resumo dos cursos'!S50</f>
        <v>0</v>
      </c>
      <c r="I47" s="60">
        <f>'Resumo dos cursos'!T50</f>
        <v>0</v>
      </c>
      <c r="J47" s="91">
        <f>'Resumo dos cursos'!U50</f>
        <v>0</v>
      </c>
    </row>
    <row r="48" spans="1:10" ht="25.5" hidden="1" x14ac:dyDescent="0.25">
      <c r="A48" s="90" t="str">
        <f>IF('Controle adm. dos cursos'!H49=2023,'Controle adm. dos cursos'!D49," ")</f>
        <v>RISCOS E DESASTRES: conhecimentos fundamentais</v>
      </c>
      <c r="B48" s="98" t="str">
        <f>'Controle adm. dos cursos'!G49</f>
        <v>Turma II 2023</v>
      </c>
      <c r="C48" s="60">
        <f>'Resumo dos cursos'!N51</f>
        <v>159</v>
      </c>
      <c r="D48" s="60">
        <f>'Resumo dos cursos'!O51</f>
        <v>159</v>
      </c>
      <c r="E48" s="60">
        <f>'Resumo dos cursos'!P51</f>
        <v>83</v>
      </c>
      <c r="F48" s="57">
        <f t="shared" si="1"/>
        <v>52.20125786163522</v>
      </c>
      <c r="G48" s="60">
        <f>'Resumo dos cursos'!R51</f>
        <v>3</v>
      </c>
      <c r="H48" s="60">
        <f>'Resumo dos cursos'!S51</f>
        <v>2</v>
      </c>
      <c r="I48" s="60">
        <f>'Resumo dos cursos'!T51</f>
        <v>71</v>
      </c>
      <c r="J48" s="91">
        <f>'Resumo dos cursos'!U51</f>
        <v>0</v>
      </c>
    </row>
    <row r="49" spans="1:10" ht="25.5" hidden="1" x14ac:dyDescent="0.25">
      <c r="A49" s="90" t="str">
        <f>IF('Controle adm. dos cursos'!H50=2023,'Controle adm. dos cursos'!D50," ")</f>
        <v>Capacitação em Brigadistas Civis Voluntários</v>
      </c>
      <c r="B49" s="98" t="str">
        <f>'Controle adm. dos cursos'!G50</f>
        <v>TURMA - Ponta Grossa 2023</v>
      </c>
      <c r="C49" s="60">
        <f>'Resumo dos cursos'!N52</f>
        <v>80</v>
      </c>
      <c r="D49" s="60">
        <f>'Resumo dos cursos'!O52</f>
        <v>80</v>
      </c>
      <c r="E49" s="60">
        <f>'Resumo dos cursos'!P52</f>
        <v>24</v>
      </c>
      <c r="F49" s="57">
        <f t="shared" si="1"/>
        <v>30</v>
      </c>
      <c r="G49" s="60">
        <f>'Resumo dos cursos'!R52</f>
        <v>5</v>
      </c>
      <c r="H49" s="60">
        <f>'Resumo dos cursos'!S52</f>
        <v>10</v>
      </c>
      <c r="I49" s="60">
        <f>'Resumo dos cursos'!T52</f>
        <v>41</v>
      </c>
      <c r="J49" s="91">
        <f>'Resumo dos cursos'!U52</f>
        <v>0</v>
      </c>
    </row>
    <row r="50" spans="1:10" ht="25.5" hidden="1" x14ac:dyDescent="0.25">
      <c r="A50" s="90" t="str">
        <f>IF('Controle adm. dos cursos'!H51=2023,'Controle adm. dos cursos'!D51," ")</f>
        <v>Segurança de Barragens - Anomalias e Boas Práticas</v>
      </c>
      <c r="B50" s="98" t="str">
        <f>'Controle adm. dos cursos'!G51</f>
        <v>Turma I 2023</v>
      </c>
      <c r="C50" s="60">
        <f>'Resumo dos cursos'!N53</f>
        <v>66</v>
      </c>
      <c r="D50" s="60">
        <f>'Resumo dos cursos'!O53</f>
        <v>66</v>
      </c>
      <c r="E50" s="60">
        <f>'Resumo dos cursos'!P53</f>
        <v>46</v>
      </c>
      <c r="F50" s="57">
        <f t="shared" si="1"/>
        <v>69.696969696969703</v>
      </c>
      <c r="G50" s="60">
        <f>'Resumo dos cursos'!R53</f>
        <v>3</v>
      </c>
      <c r="H50" s="60">
        <f>'Resumo dos cursos'!S53</f>
        <v>0</v>
      </c>
      <c r="I50" s="60">
        <f>'Resumo dos cursos'!T53</f>
        <v>17</v>
      </c>
      <c r="J50" s="91">
        <f>'Resumo dos cursos'!U53</f>
        <v>0</v>
      </c>
    </row>
    <row r="51" spans="1:10" hidden="1" x14ac:dyDescent="0.25">
      <c r="A51" s="90" t="str">
        <f>IF('Controle adm. dos cursos'!H52=2023,'Controle adm. dos cursos'!D52," ")</f>
        <v>Sistema de Comando de Incidentes</v>
      </c>
      <c r="B51" s="98" t="str">
        <f>'Controle adm. dos cursos'!G52</f>
        <v>Turma I 2023</v>
      </c>
      <c r="C51" s="60">
        <f>'Resumo dos cursos'!N54</f>
        <v>73</v>
      </c>
      <c r="D51" s="60">
        <f>'Resumo dos cursos'!O54</f>
        <v>73</v>
      </c>
      <c r="E51" s="60">
        <f>'Resumo dos cursos'!P54</f>
        <v>30</v>
      </c>
      <c r="F51" s="57">
        <f t="shared" si="1"/>
        <v>41.095890410958901</v>
      </c>
      <c r="G51" s="60">
        <f>'Resumo dos cursos'!R54</f>
        <v>4</v>
      </c>
      <c r="H51" s="60">
        <f>'Resumo dos cursos'!S54</f>
        <v>5</v>
      </c>
      <c r="I51" s="60">
        <f>'Resumo dos cursos'!T54</f>
        <v>34</v>
      </c>
      <c r="J51" s="91">
        <f>'Resumo dos cursos'!U54</f>
        <v>0</v>
      </c>
    </row>
    <row r="52" spans="1:10" hidden="1" x14ac:dyDescent="0.25">
      <c r="A52" s="99" t="str">
        <f>IF('Controle adm. dos cursos'!H53=2023,'Controle adm. dos cursos'!D53," ")</f>
        <v>Sistema de Comando de Incidentes</v>
      </c>
      <c r="B52" s="115" t="str">
        <f>'Controle adm. dos cursos'!G53</f>
        <v>Turma Legendários</v>
      </c>
      <c r="C52" s="103">
        <f>'Resumo dos cursos'!N55</f>
        <v>10</v>
      </c>
      <c r="D52" s="103">
        <f>'Resumo dos cursos'!O55</f>
        <v>10</v>
      </c>
      <c r="E52" s="103">
        <f>'Resumo dos cursos'!P55</f>
        <v>2</v>
      </c>
      <c r="F52" s="104">
        <f t="shared" si="1"/>
        <v>20</v>
      </c>
      <c r="G52" s="103">
        <f>'Resumo dos cursos'!R55</f>
        <v>1</v>
      </c>
      <c r="H52" s="103">
        <f>'Resumo dos cursos'!S55</f>
        <v>0</v>
      </c>
      <c r="I52" s="103">
        <f>'Resumo dos cursos'!T55</f>
        <v>7</v>
      </c>
      <c r="J52" s="105">
        <f>'Resumo dos cursos'!U55</f>
        <v>0</v>
      </c>
    </row>
    <row r="53" spans="1:10" hidden="1" x14ac:dyDescent="0.25">
      <c r="A53" s="88" t="str">
        <f>IF('Controle adm. dos cursos'!H54=2024,'Controle adm. dos cursos'!D54," ")</f>
        <v>Sistema de Comando de Incidentes</v>
      </c>
      <c r="B53" s="116" t="str">
        <f>'Controle adm. dos cursos'!G54</f>
        <v>II Legendários</v>
      </c>
      <c r="C53" s="55">
        <f>'Resumo dos cursos'!N56</f>
        <v>10</v>
      </c>
      <c r="D53" s="55">
        <f>'Resumo dos cursos'!O56</f>
        <v>10</v>
      </c>
      <c r="E53" s="55">
        <f>'Resumo dos cursos'!P56</f>
        <v>7</v>
      </c>
      <c r="F53" s="106">
        <f t="shared" si="1"/>
        <v>70</v>
      </c>
      <c r="G53" s="55">
        <f>'Resumo dos cursos'!R56</f>
        <v>0</v>
      </c>
      <c r="H53" s="55">
        <f>'Resumo dos cursos'!S56</f>
        <v>0</v>
      </c>
      <c r="I53" s="55">
        <f>'Resumo dos cursos'!T56</f>
        <v>3</v>
      </c>
      <c r="J53" s="89">
        <f>'Resumo dos cursos'!U56</f>
        <v>0</v>
      </c>
    </row>
    <row r="54" spans="1:10" hidden="1" x14ac:dyDescent="0.25">
      <c r="A54" s="90" t="str">
        <f>IF('Controle adm. dos cursos'!H55=2024,'Controle adm. dos cursos'!D55," ")</f>
        <v>Sistema de Comando de Incidentes</v>
      </c>
      <c r="B54" s="98" t="str">
        <f>'Controle adm. dos cursos'!G55</f>
        <v>UFPR</v>
      </c>
      <c r="C54" s="60">
        <f>'Resumo dos cursos'!N57</f>
        <v>80</v>
      </c>
      <c r="D54" s="60">
        <f>'Resumo dos cursos'!O57</f>
        <v>80</v>
      </c>
      <c r="E54" s="60">
        <f>'Resumo dos cursos'!P57</f>
        <v>31</v>
      </c>
      <c r="F54" s="57">
        <f t="shared" si="1"/>
        <v>38.75</v>
      </c>
      <c r="G54" s="60">
        <f>'Resumo dos cursos'!R57</f>
        <v>5</v>
      </c>
      <c r="H54" s="60">
        <f>'Resumo dos cursos'!S57</f>
        <v>5</v>
      </c>
      <c r="I54" s="60">
        <f>'Resumo dos cursos'!T57</f>
        <v>39</v>
      </c>
      <c r="J54" s="91">
        <f>'Resumo dos cursos'!U57</f>
        <v>0</v>
      </c>
    </row>
    <row r="55" spans="1:10" hidden="1" x14ac:dyDescent="0.25">
      <c r="A55" s="90" t="str">
        <f>IF('Controle adm. dos cursos'!H56=2024,'Controle adm. dos cursos'!D56," ")</f>
        <v>Sistema de Comando de Incidentes</v>
      </c>
      <c r="B55" s="98" t="str">
        <f>'Controle adm. dos cursos'!G56</f>
        <v>IBAMA</v>
      </c>
      <c r="C55" s="60">
        <f>'Resumo dos cursos'!N58</f>
        <v>38</v>
      </c>
      <c r="D55" s="60">
        <f>'Resumo dos cursos'!O58</f>
        <v>38</v>
      </c>
      <c r="E55" s="60">
        <f>'Resumo dos cursos'!P58</f>
        <v>20</v>
      </c>
      <c r="F55" s="57">
        <f t="shared" si="1"/>
        <v>52.631578947368418</v>
      </c>
      <c r="G55" s="60">
        <f>'Resumo dos cursos'!R58</f>
        <v>0</v>
      </c>
      <c r="H55" s="60">
        <f>'Resumo dos cursos'!S58</f>
        <v>0</v>
      </c>
      <c r="I55" s="60">
        <f>'Resumo dos cursos'!T58</f>
        <v>18</v>
      </c>
      <c r="J55" s="91">
        <f>'Resumo dos cursos'!U58</f>
        <v>0</v>
      </c>
    </row>
    <row r="56" spans="1:10" hidden="1" x14ac:dyDescent="0.25">
      <c r="A56" s="90" t="str">
        <f>IF('Controle adm. dos cursos'!H57=2024,'Controle adm. dos cursos'!D57," ")</f>
        <v>Sistema de Comando de Incidentes</v>
      </c>
      <c r="B56" s="98" t="str">
        <f>'Controle adm. dos cursos'!G57</f>
        <v>III Legendários</v>
      </c>
      <c r="C56" s="60">
        <f>'Resumo dos cursos'!N59</f>
        <v>39</v>
      </c>
      <c r="D56" s="60">
        <f>'Resumo dos cursos'!O59</f>
        <v>39</v>
      </c>
      <c r="E56" s="60">
        <f>'Resumo dos cursos'!P59</f>
        <v>39</v>
      </c>
      <c r="F56" s="57">
        <f t="shared" si="1"/>
        <v>100</v>
      </c>
      <c r="G56" s="60">
        <f>'Resumo dos cursos'!R59</f>
        <v>0</v>
      </c>
      <c r="H56" s="60">
        <f>'Resumo dos cursos'!S59</f>
        <v>0</v>
      </c>
      <c r="I56" s="60">
        <f>'Resumo dos cursos'!T59</f>
        <v>0</v>
      </c>
      <c r="J56" s="91">
        <f>'Resumo dos cursos'!U59</f>
        <v>0</v>
      </c>
    </row>
    <row r="57" spans="1:10" ht="25.5" hidden="1" x14ac:dyDescent="0.25">
      <c r="A57" s="90" t="str">
        <f>IF('Controle adm. dos cursos'!H58=2024,'Controle adm. dos cursos'!D58," ")</f>
        <v>Atendimento de Emergências em Edificações</v>
      </c>
      <c r="B57" s="98" t="str">
        <f>'Controle adm. dos cursos'!G58</f>
        <v>UNESPAR</v>
      </c>
      <c r="C57" s="60">
        <f>'Resumo dos cursos'!N60</f>
        <v>44</v>
      </c>
      <c r="D57" s="60">
        <f>'Resumo dos cursos'!O60</f>
        <v>44</v>
      </c>
      <c r="E57" s="60">
        <f>'Resumo dos cursos'!P60</f>
        <v>11</v>
      </c>
      <c r="F57" s="57">
        <f t="shared" si="1"/>
        <v>25</v>
      </c>
      <c r="G57" s="60">
        <f>'Resumo dos cursos'!R60</f>
        <v>1</v>
      </c>
      <c r="H57" s="60">
        <f>'Resumo dos cursos'!S60</f>
        <v>0</v>
      </c>
      <c r="I57" s="60">
        <f>'Resumo dos cursos'!T60</f>
        <v>32</v>
      </c>
      <c r="J57" s="91">
        <f>'Resumo dos cursos'!U60</f>
        <v>0</v>
      </c>
    </row>
    <row r="58" spans="1:10" ht="38.25" hidden="1" x14ac:dyDescent="0.25">
      <c r="A58" s="90" t="str">
        <f>IF('Controle adm. dos cursos'!H59=2024,'Controle adm. dos cursos'!D59," ")</f>
        <v>Conhecimentos Básicos para Integrantes da Rede Estadual de Emergência de Radioamadores</v>
      </c>
      <c r="B58" s="98" t="str">
        <f>'Controle adm. dos cursos'!G59</f>
        <v>I Supervisores</v>
      </c>
      <c r="C58" s="60">
        <f>'Resumo dos cursos'!N61</f>
        <v>29</v>
      </c>
      <c r="D58" s="60">
        <f>'Resumo dos cursos'!O61</f>
        <v>29</v>
      </c>
      <c r="E58" s="60">
        <f>'Resumo dos cursos'!P61</f>
        <v>21</v>
      </c>
      <c r="F58" s="57">
        <f t="shared" si="1"/>
        <v>72.41379310344827</v>
      </c>
      <c r="G58" s="60">
        <f>'Resumo dos cursos'!R61</f>
        <v>1</v>
      </c>
      <c r="H58" s="60">
        <f>'Resumo dos cursos'!S61</f>
        <v>1</v>
      </c>
      <c r="I58" s="60">
        <f>'Resumo dos cursos'!T61</f>
        <v>6</v>
      </c>
      <c r="J58" s="91">
        <f>'Resumo dos cursos'!U61</f>
        <v>0</v>
      </c>
    </row>
    <row r="59" spans="1:10" ht="38.25" hidden="1" x14ac:dyDescent="0.25">
      <c r="A59" s="90" t="str">
        <f>IF('Controle adm. dos cursos'!H60=2024,'Controle adm. dos cursos'!D60," ")</f>
        <v>Conhecimentos Fundamentais para Gestores Municipais de Proteção e Defesa Civil</v>
      </c>
      <c r="B59" s="98" t="str">
        <f>'Controle adm. dos cursos'!G60</f>
        <v>I 2024</v>
      </c>
      <c r="C59" s="60">
        <f>'Resumo dos cursos'!N62</f>
        <v>167</v>
      </c>
      <c r="D59" s="60">
        <f>'Resumo dos cursos'!O62</f>
        <v>167</v>
      </c>
      <c r="E59" s="60">
        <f>'Resumo dos cursos'!P62</f>
        <v>50</v>
      </c>
      <c r="F59" s="57">
        <f t="shared" si="1"/>
        <v>29.940119760479043</v>
      </c>
      <c r="G59" s="60">
        <f>'Resumo dos cursos'!R62</f>
        <v>4</v>
      </c>
      <c r="H59" s="60">
        <f>'Resumo dos cursos'!S62</f>
        <v>10</v>
      </c>
      <c r="I59" s="60">
        <f>'Resumo dos cursos'!T62</f>
        <v>103</v>
      </c>
      <c r="J59" s="91">
        <f>'Resumo dos cursos'!U62</f>
        <v>0</v>
      </c>
    </row>
    <row r="60" spans="1:10" hidden="1" x14ac:dyDescent="0.25">
      <c r="A60" s="90" t="str">
        <f>IF('Controle adm. dos cursos'!H61=2024,'Controle adm. dos cursos'!D61," ")</f>
        <v>Sistema de Comando de Incidentes</v>
      </c>
      <c r="B60" s="98" t="str">
        <f>'Controle adm. dos cursos'!G61</f>
        <v>COSMO</v>
      </c>
      <c r="C60" s="60">
        <f>'Resumo dos cursos'!N63</f>
        <v>6</v>
      </c>
      <c r="D60" s="60">
        <f>'Resumo dos cursos'!O63</f>
        <v>6</v>
      </c>
      <c r="E60" s="60">
        <f>'Resumo dos cursos'!P63</f>
        <v>2</v>
      </c>
      <c r="F60" s="57">
        <f t="shared" si="1"/>
        <v>33.333333333333336</v>
      </c>
      <c r="G60" s="60">
        <f>'Resumo dos cursos'!R63</f>
        <v>0</v>
      </c>
      <c r="H60" s="60">
        <f>'Resumo dos cursos'!S63</f>
        <v>0</v>
      </c>
      <c r="I60" s="60">
        <f>'Resumo dos cursos'!T63</f>
        <v>4</v>
      </c>
      <c r="J60" s="91">
        <f>'Resumo dos cursos'!U63</f>
        <v>0</v>
      </c>
    </row>
    <row r="61" spans="1:10" hidden="1" x14ac:dyDescent="0.25">
      <c r="A61" s="90" t="str">
        <f>IF('Controle adm. dos cursos'!H62=2024,'Controle adm. dos cursos'!D62," ")</f>
        <v>Sistema de Comando de Incidentes</v>
      </c>
      <c r="B61" s="98" t="str">
        <f>'Controle adm. dos cursos'!G62</f>
        <v>CRMV</v>
      </c>
      <c r="C61" s="60">
        <f>'Resumo dos cursos'!N64</f>
        <v>43</v>
      </c>
      <c r="D61" s="60">
        <f>'Resumo dos cursos'!O64</f>
        <v>43</v>
      </c>
      <c r="E61" s="60">
        <f>'Resumo dos cursos'!P64</f>
        <v>34</v>
      </c>
      <c r="F61" s="57">
        <f t="shared" si="1"/>
        <v>79.069767441860463</v>
      </c>
      <c r="G61" s="60">
        <f>'Resumo dos cursos'!R64</f>
        <v>1</v>
      </c>
      <c r="H61" s="60">
        <f>'Resumo dos cursos'!S64</f>
        <v>8</v>
      </c>
      <c r="I61" s="60">
        <f>'Resumo dos cursos'!T64</f>
        <v>0</v>
      </c>
      <c r="J61" s="91">
        <f>'Resumo dos cursos'!U64</f>
        <v>0</v>
      </c>
    </row>
    <row r="62" spans="1:10" hidden="1" x14ac:dyDescent="0.25">
      <c r="A62" s="90" t="str">
        <f>IF('Controle adm. dos cursos'!H63=2024,'Controle adm. dos cursos'!D63," ")</f>
        <v>Sistema de Comando de Incidentes</v>
      </c>
      <c r="B62" s="98" t="str">
        <f>'Controle adm. dos cursos'!G63</f>
        <v>IAT</v>
      </c>
      <c r="C62" s="60">
        <f>'Resumo dos cursos'!N65</f>
        <v>7111</v>
      </c>
      <c r="D62" s="60">
        <f>'Resumo dos cursos'!O65</f>
        <v>7111</v>
      </c>
      <c r="E62" s="60">
        <f>'Resumo dos cursos'!P65</f>
        <v>5860</v>
      </c>
      <c r="F62" s="57">
        <f t="shared" si="1"/>
        <v>82.407537617775276</v>
      </c>
      <c r="G62" s="60">
        <f>'Resumo dos cursos'!R65</f>
        <v>347</v>
      </c>
      <c r="H62" s="60">
        <f>'Resumo dos cursos'!S65</f>
        <v>187</v>
      </c>
      <c r="I62" s="60">
        <f>'Resumo dos cursos'!T65</f>
        <v>717</v>
      </c>
      <c r="J62" s="91">
        <f>'Resumo dos cursos'!U65</f>
        <v>0</v>
      </c>
    </row>
    <row r="63" spans="1:10" ht="38.25" hidden="1" x14ac:dyDescent="0.25">
      <c r="A63" s="90" t="str">
        <f>IF('Controle adm. dos cursos'!H64=2024,'Controle adm. dos cursos'!D64," ")</f>
        <v>Conhecimentos Básicos para Integrantes da Rede Estadual de Emergência de Radioamadores</v>
      </c>
      <c r="B63" s="98" t="str">
        <f>'Controle adm. dos cursos'!G64</f>
        <v>II Adjuntos</v>
      </c>
      <c r="C63" s="60">
        <f>'Resumo dos cursos'!N66</f>
        <v>25</v>
      </c>
      <c r="D63" s="60">
        <f>'Resumo dos cursos'!O66</f>
        <v>25</v>
      </c>
      <c r="E63" s="60">
        <f>'Resumo dos cursos'!P66</f>
        <v>25</v>
      </c>
      <c r="F63" s="57">
        <f t="shared" si="1"/>
        <v>100</v>
      </c>
      <c r="G63" s="60">
        <f>'Resumo dos cursos'!R66</f>
        <v>0</v>
      </c>
      <c r="H63" s="60">
        <f>'Resumo dos cursos'!S66</f>
        <v>0</v>
      </c>
      <c r="I63" s="60">
        <f>'Resumo dos cursos'!T66</f>
        <v>0</v>
      </c>
      <c r="J63" s="91">
        <f>'Resumo dos cursos'!U66</f>
        <v>0</v>
      </c>
    </row>
    <row r="64" spans="1:10" ht="25.5" hidden="1" x14ac:dyDescent="0.25">
      <c r="A64" s="90" t="str">
        <f>IF('Controle adm. dos cursos'!H65=2024,'Controle adm. dos cursos'!D65," ")</f>
        <v>Formação de Brigadistas Escolares e Monitores de Segurança</v>
      </c>
      <c r="B64" s="98" t="str">
        <f>'Controle adm. dos cursos'!G65</f>
        <v>I 2024</v>
      </c>
      <c r="C64" s="61">
        <f>'Resumo dos cursos'!N67</f>
        <v>16</v>
      </c>
      <c r="D64" s="61">
        <f>'Resumo dos cursos'!O67</f>
        <v>16</v>
      </c>
      <c r="E64" s="61">
        <f>'Resumo dos cursos'!P67</f>
        <v>6</v>
      </c>
      <c r="F64" s="61">
        <f t="shared" si="1"/>
        <v>37.5</v>
      </c>
      <c r="G64" s="61">
        <f>'Resumo dos cursos'!R67</f>
        <v>1</v>
      </c>
      <c r="H64" s="61">
        <f>'Resumo dos cursos'!S67</f>
        <v>9</v>
      </c>
      <c r="I64" s="61">
        <f>'Resumo dos cursos'!T67</f>
        <v>0</v>
      </c>
      <c r="J64" s="91">
        <f>'Resumo dos cursos'!U67</f>
        <v>0</v>
      </c>
    </row>
    <row r="65" spans="1:10" ht="38.25" hidden="1" x14ac:dyDescent="0.25">
      <c r="A65" s="90" t="str">
        <f>IF('Controle adm. dos cursos'!H66=2024,'Controle adm. dos cursos'!D66," ")</f>
        <v>Capacitação e Conhecimentos Fundamentais para Atividades de Defesa Civil </v>
      </c>
      <c r="B65" s="98" t="str">
        <f>'Controle adm. dos cursos'!G66</f>
        <v>CMEIV 2024</v>
      </c>
      <c r="C65" s="60">
        <f>'Resumo dos cursos'!N68</f>
        <v>35</v>
      </c>
      <c r="D65" s="60">
        <f>'Resumo dos cursos'!O68</f>
        <v>35</v>
      </c>
      <c r="E65" s="60">
        <f>'Resumo dos cursos'!P68</f>
        <v>17</v>
      </c>
      <c r="F65" s="57">
        <f t="shared" si="1"/>
        <v>48.571428571428569</v>
      </c>
      <c r="G65" s="60">
        <f>'Resumo dos cursos'!R68</f>
        <v>1</v>
      </c>
      <c r="H65" s="60">
        <f>'Resumo dos cursos'!S68</f>
        <v>1</v>
      </c>
      <c r="I65" s="60">
        <f>'Resumo dos cursos'!T68</f>
        <v>5</v>
      </c>
      <c r="J65" s="91">
        <f>'Resumo dos cursos'!U68</f>
        <v>0</v>
      </c>
    </row>
    <row r="66" spans="1:10" hidden="1" x14ac:dyDescent="0.25">
      <c r="A66" s="90" t="str">
        <f>IF('Controle adm. dos cursos'!H67=2024,'Controle adm. dos cursos'!D67," ")</f>
        <v>Sistema de Comando de Incidentes</v>
      </c>
      <c r="B66" s="98" t="str">
        <f>'Controle adm. dos cursos'!G67</f>
        <v>COSMO II</v>
      </c>
      <c r="C66" s="60">
        <f>'Resumo dos cursos'!N69</f>
        <v>63</v>
      </c>
      <c r="D66" s="60">
        <f>'Resumo dos cursos'!O69</f>
        <v>63</v>
      </c>
      <c r="E66" s="60">
        <f>'Resumo dos cursos'!P69</f>
        <v>23</v>
      </c>
      <c r="F66" s="57">
        <f t="shared" si="1"/>
        <v>36.507936507936506</v>
      </c>
      <c r="G66" s="60">
        <f>'Resumo dos cursos'!R69</f>
        <v>9</v>
      </c>
      <c r="H66" s="60">
        <f>'Resumo dos cursos'!S69</f>
        <v>3</v>
      </c>
      <c r="I66" s="60">
        <f>'Resumo dos cursos'!T69</f>
        <v>28</v>
      </c>
      <c r="J66" s="91">
        <f>'Resumo dos cursos'!U69</f>
        <v>0</v>
      </c>
    </row>
    <row r="67" spans="1:10" ht="25.5" hidden="1" x14ac:dyDescent="0.25">
      <c r="A67" s="90" t="str">
        <f>IF('Controle adm. dos cursos'!H68=2024,'Controle adm. dos cursos'!D68," ")</f>
        <v>Atendimento de Emergências em Edificações</v>
      </c>
      <c r="B67" s="98" t="str">
        <f>'Controle adm. dos cursos'!G68</f>
        <v>SESP</v>
      </c>
      <c r="C67" s="60">
        <f>'Resumo dos cursos'!N70</f>
        <v>75</v>
      </c>
      <c r="D67" s="60">
        <f>'Resumo dos cursos'!O70</f>
        <v>75</v>
      </c>
      <c r="E67" s="60">
        <f>'Resumo dos cursos'!P70</f>
        <v>9</v>
      </c>
      <c r="F67" s="57">
        <f t="shared" si="1"/>
        <v>12</v>
      </c>
      <c r="G67" s="60">
        <f>'Resumo dos cursos'!R70</f>
        <v>0</v>
      </c>
      <c r="H67" s="60">
        <f>'Resumo dos cursos'!S70</f>
        <v>38</v>
      </c>
      <c r="I67" s="60">
        <f>'Resumo dos cursos'!T70</f>
        <v>28</v>
      </c>
      <c r="J67" s="91">
        <f>'Resumo dos cursos'!U70</f>
        <v>0</v>
      </c>
    </row>
    <row r="68" spans="1:10" hidden="1" x14ac:dyDescent="0.25">
      <c r="A68" s="90" t="str">
        <f>IF('Controle adm. dos cursos'!H69=2024,'Controle adm. dos cursos'!D69," ")</f>
        <v>Sistema de Comando de Incidentes</v>
      </c>
      <c r="B68" s="98" t="str">
        <f>'Controle adm. dos cursos'!G69</f>
        <v>7º GB</v>
      </c>
      <c r="C68" s="60">
        <f>'Resumo dos cursos'!N71</f>
        <v>32</v>
      </c>
      <c r="D68" s="60">
        <f>'Resumo dos cursos'!O71</f>
        <v>32</v>
      </c>
      <c r="E68" s="60">
        <f>'Resumo dos cursos'!P71</f>
        <v>18</v>
      </c>
      <c r="F68" s="57">
        <f t="shared" ref="F68:F93" si="2">IFERROR(((E68*100)/D68),0)</f>
        <v>56.25</v>
      </c>
      <c r="G68" s="60">
        <f>'Resumo dos cursos'!R71</f>
        <v>1</v>
      </c>
      <c r="H68" s="60">
        <f>'Resumo dos cursos'!S71</f>
        <v>3</v>
      </c>
      <c r="I68" s="60">
        <f>'Resumo dos cursos'!T71</f>
        <v>10</v>
      </c>
      <c r="J68" s="91">
        <f>'Resumo dos cursos'!U71</f>
        <v>0</v>
      </c>
    </row>
    <row r="69" spans="1:10" ht="25.5" hidden="1" x14ac:dyDescent="0.25">
      <c r="A69" s="90" t="str">
        <f>IF('Controle adm. dos cursos'!H70=2024,'Controle adm. dos cursos'!D70," ")</f>
        <v>Capacitação em Brigadistas Civis Voluntários</v>
      </c>
      <c r="B69" s="98" t="str">
        <f>'Controle adm. dos cursos'!G70</f>
        <v>RMC - 2024</v>
      </c>
      <c r="C69" s="60">
        <f>'Resumo dos cursos'!N72</f>
        <v>12</v>
      </c>
      <c r="D69" s="60">
        <f>'Resumo dos cursos'!O72</f>
        <v>12</v>
      </c>
      <c r="E69" s="60">
        <f>'Resumo dos cursos'!P72</f>
        <v>7</v>
      </c>
      <c r="F69" s="57">
        <f t="shared" si="2"/>
        <v>58.333333333333336</v>
      </c>
      <c r="G69" s="60">
        <f>'Resumo dos cursos'!R72</f>
        <v>0</v>
      </c>
      <c r="H69" s="60">
        <f>'Resumo dos cursos'!S72</f>
        <v>1</v>
      </c>
      <c r="I69" s="60">
        <f>'Resumo dos cursos'!T72</f>
        <v>4</v>
      </c>
      <c r="J69" s="91">
        <f>'Resumo dos cursos'!U72</f>
        <v>0</v>
      </c>
    </row>
    <row r="70" spans="1:10" hidden="1" x14ac:dyDescent="0.25">
      <c r="A70" s="90" t="str">
        <f>IF('Controle adm. dos cursos'!H71=2024,'Controle adm. dos cursos'!D71," ")</f>
        <v>Sistema de Comando de Incidentes</v>
      </c>
      <c r="B70" s="98" t="str">
        <f>'Controle adm. dos cursos'!G71</f>
        <v>Legendários - Pato Branco</v>
      </c>
      <c r="C70" s="60">
        <f>'Resumo dos cursos'!N73</f>
        <v>66</v>
      </c>
      <c r="D70" s="60">
        <f>'Resumo dos cursos'!O73</f>
        <v>66</v>
      </c>
      <c r="E70" s="60">
        <f>'Resumo dos cursos'!P73</f>
        <v>41</v>
      </c>
      <c r="F70" s="57">
        <f t="shared" si="2"/>
        <v>62.121212121212125</v>
      </c>
      <c r="G70" s="60">
        <f>'Resumo dos cursos'!R73</f>
        <v>4</v>
      </c>
      <c r="H70" s="60">
        <f>'Resumo dos cursos'!S73</f>
        <v>3</v>
      </c>
      <c r="I70" s="60">
        <f>'Resumo dos cursos'!T73</f>
        <v>18</v>
      </c>
      <c r="J70" s="91">
        <f>'Resumo dos cursos'!U73</f>
        <v>0</v>
      </c>
    </row>
    <row r="71" spans="1:10" hidden="1" x14ac:dyDescent="0.25">
      <c r="A71" s="90" t="str">
        <f>IF('Controle adm. dos cursos'!H72=2024,'Controle adm. dos cursos'!D72," ")</f>
        <v>Sistema de Comando de Incidentes</v>
      </c>
      <c r="B71" s="98" t="str">
        <f>'Controle adm. dos cursos'!G72</f>
        <v>Clube Paranaese de Montanhismo</v>
      </c>
      <c r="C71" s="60">
        <f>'Resumo dos cursos'!N74</f>
        <v>19</v>
      </c>
      <c r="D71" s="60">
        <f>'Resumo dos cursos'!O74</f>
        <v>19</v>
      </c>
      <c r="E71" s="60">
        <f>'Resumo dos cursos'!P74</f>
        <v>6</v>
      </c>
      <c r="F71" s="57">
        <f t="shared" si="2"/>
        <v>31.578947368421051</v>
      </c>
      <c r="G71" s="60">
        <f>'Resumo dos cursos'!R74</f>
        <v>1</v>
      </c>
      <c r="H71" s="60">
        <f>'Resumo dos cursos'!S74</f>
        <v>1</v>
      </c>
      <c r="I71" s="60">
        <f>'Resumo dos cursos'!T74</f>
        <v>11</v>
      </c>
      <c r="J71" s="91">
        <f>'Resumo dos cursos'!U74</f>
        <v>0</v>
      </c>
    </row>
    <row r="72" spans="1:10" hidden="1" x14ac:dyDescent="0.25">
      <c r="A72" s="90" t="str">
        <f>IF('Controle adm. dos cursos'!H73=2024,'Controle adm. dos cursos'!D73," ")</f>
        <v>Sistema de Comando de Incidentes</v>
      </c>
      <c r="B72" s="98" t="str">
        <f>'Controle adm. dos cursos'!G73</f>
        <v>ADAPAR - 2024</v>
      </c>
      <c r="C72" s="60">
        <f>'Resumo dos cursos'!N75</f>
        <v>18</v>
      </c>
      <c r="D72" s="60">
        <f>'Resumo dos cursos'!O75</f>
        <v>18</v>
      </c>
      <c r="E72" s="60">
        <f>'Resumo dos cursos'!P75</f>
        <v>10</v>
      </c>
      <c r="F72" s="57">
        <f t="shared" si="2"/>
        <v>55.555555555555557</v>
      </c>
      <c r="G72" s="60">
        <f>'Resumo dos cursos'!R75</f>
        <v>6</v>
      </c>
      <c r="H72" s="60">
        <f>'Resumo dos cursos'!S75</f>
        <v>0</v>
      </c>
      <c r="I72" s="60">
        <f>'Resumo dos cursos'!T75</f>
        <v>2</v>
      </c>
      <c r="J72" s="91">
        <f>'Resumo dos cursos'!U75</f>
        <v>0</v>
      </c>
    </row>
    <row r="73" spans="1:10" hidden="1" x14ac:dyDescent="0.25">
      <c r="A73" s="90" t="str">
        <f>IF('Controle adm. dos cursos'!H74=2024,'Controle adm. dos cursos'!D74," ")</f>
        <v>Sistema de Comando de Incidentes</v>
      </c>
      <c r="B73" s="98" t="str">
        <f>'Controle adm. dos cursos'!G74</f>
        <v>II 7º GB</v>
      </c>
      <c r="C73" s="60">
        <f>'Resumo dos cursos'!N76</f>
        <v>63</v>
      </c>
      <c r="D73" s="60">
        <f>'Resumo dos cursos'!O76</f>
        <v>63</v>
      </c>
      <c r="E73" s="60">
        <f>'Resumo dos cursos'!P76</f>
        <v>29</v>
      </c>
      <c r="F73" s="57">
        <f t="shared" si="2"/>
        <v>46.031746031746032</v>
      </c>
      <c r="G73" s="60">
        <f>'Resumo dos cursos'!R76</f>
        <v>1</v>
      </c>
      <c r="H73" s="60">
        <f>'Resumo dos cursos'!S76</f>
        <v>4</v>
      </c>
      <c r="I73" s="60">
        <f>'Resumo dos cursos'!T76</f>
        <v>29</v>
      </c>
      <c r="J73" s="91">
        <f>'Resumo dos cursos'!U76</f>
        <v>0</v>
      </c>
    </row>
    <row r="74" spans="1:10" hidden="1" x14ac:dyDescent="0.25">
      <c r="A74" s="90" t="str">
        <f>IF('Controle adm. dos cursos'!H75=2024,'Controle adm. dos cursos'!D75," ")</f>
        <v>Capacitação de Agentes de Defesa Civil</v>
      </c>
      <c r="B74" s="98" t="str">
        <f>'Controle adm. dos cursos'!G75</f>
        <v>I 2024</v>
      </c>
      <c r="C74" s="60">
        <f>'Resumo dos cursos'!N77</f>
        <v>48</v>
      </c>
      <c r="D74" s="60">
        <f>'Resumo dos cursos'!O77</f>
        <v>48</v>
      </c>
      <c r="E74" s="60">
        <f>'Resumo dos cursos'!P77</f>
        <v>42</v>
      </c>
      <c r="F74" s="57">
        <f t="shared" si="2"/>
        <v>87.5</v>
      </c>
      <c r="G74" s="60">
        <f>'Resumo dos cursos'!R77</f>
        <v>0</v>
      </c>
      <c r="H74" s="60">
        <f>'Resumo dos cursos'!S77</f>
        <v>0</v>
      </c>
      <c r="I74" s="60">
        <f>'Resumo dos cursos'!T77</f>
        <v>6</v>
      </c>
      <c r="J74" s="91">
        <f>'Resumo dos cursos'!U77</f>
        <v>0</v>
      </c>
    </row>
    <row r="75" spans="1:10" hidden="1" x14ac:dyDescent="0.25">
      <c r="A75" s="90" t="str">
        <f>IF('Controle adm. dos cursos'!H76=2024,'Controle adm. dos cursos'!D76," ")</f>
        <v>Sistema de Comando de Incidentes</v>
      </c>
      <c r="B75" s="98" t="str">
        <f>'Controle adm. dos cursos'!G76</f>
        <v>5ª CORPDEC</v>
      </c>
      <c r="C75" s="60">
        <f>'Resumo dos cursos'!N78</f>
        <v>13</v>
      </c>
      <c r="D75" s="60">
        <f>'Resumo dos cursos'!O78</f>
        <v>13</v>
      </c>
      <c r="E75" s="60">
        <f>'Resumo dos cursos'!P78</f>
        <v>13</v>
      </c>
      <c r="F75" s="57">
        <f t="shared" si="2"/>
        <v>100</v>
      </c>
      <c r="G75" s="60">
        <f>'Resumo dos cursos'!R78</f>
        <v>0</v>
      </c>
      <c r="H75" s="60">
        <f>'Resumo dos cursos'!S78</f>
        <v>0</v>
      </c>
      <c r="I75" s="60">
        <f>'Resumo dos cursos'!T78</f>
        <v>0</v>
      </c>
      <c r="J75" s="91">
        <f>'Resumo dos cursos'!U78</f>
        <v>0</v>
      </c>
    </row>
    <row r="76" spans="1:10" hidden="1" x14ac:dyDescent="0.25">
      <c r="A76" s="90" t="str">
        <f>IF('Controle adm. dos cursos'!H77=2024,'Controle adm. dos cursos'!D77," ")</f>
        <v>Sistema de Comando de Incidentes</v>
      </c>
      <c r="B76" s="98" t="str">
        <f>'Controle adm. dos cursos'!G77</f>
        <v>LEC/UFPR</v>
      </c>
      <c r="C76" s="60">
        <f>'Resumo dos cursos'!N79</f>
        <v>217</v>
      </c>
      <c r="D76" s="60">
        <f>'Resumo dos cursos'!O79</f>
        <v>217</v>
      </c>
      <c r="E76" s="60">
        <f>'Resumo dos cursos'!P79</f>
        <v>49</v>
      </c>
      <c r="F76" s="57">
        <f t="shared" si="2"/>
        <v>22.580645161290324</v>
      </c>
      <c r="G76" s="60">
        <f>'Resumo dos cursos'!R79</f>
        <v>13</v>
      </c>
      <c r="H76" s="60">
        <f>'Resumo dos cursos'!S79</f>
        <v>7</v>
      </c>
      <c r="I76" s="60">
        <f>'Resumo dos cursos'!T79</f>
        <v>95</v>
      </c>
      <c r="J76" s="91">
        <f>'Resumo dos cursos'!U79</f>
        <v>0</v>
      </c>
    </row>
    <row r="77" spans="1:10" ht="25.5" hidden="1" x14ac:dyDescent="0.25">
      <c r="A77" s="90" t="str">
        <f>IF('Controle adm. dos cursos'!H78=2024,'Controle adm. dos cursos'!D78," ")</f>
        <v>Curso Introdutório de Aeronaves Remotamente Pilotadas</v>
      </c>
      <c r="B77" s="98" t="str">
        <f>'Controle adm. dos cursos'!G78</f>
        <v>I - IAT</v>
      </c>
      <c r="C77" s="60">
        <f>'Resumo dos cursos'!N80</f>
        <v>239</v>
      </c>
      <c r="D77" s="60">
        <f>'Resumo dos cursos'!O80</f>
        <v>239</v>
      </c>
      <c r="E77" s="60">
        <f>'Resumo dos cursos'!P80</f>
        <v>239</v>
      </c>
      <c r="F77" s="57">
        <f t="shared" si="2"/>
        <v>100</v>
      </c>
      <c r="G77" s="60">
        <f>'Resumo dos cursos'!R80</f>
        <v>0</v>
      </c>
      <c r="H77" s="60">
        <f>'Resumo dos cursos'!S80</f>
        <v>0</v>
      </c>
      <c r="I77" s="60">
        <f>'Resumo dos cursos'!T80</f>
        <v>0</v>
      </c>
      <c r="J77" s="91">
        <f>'Resumo dos cursos'!U80</f>
        <v>0</v>
      </c>
    </row>
    <row r="78" spans="1:10" hidden="1" x14ac:dyDescent="0.25">
      <c r="A78" s="90" t="str">
        <f>IF('Controle adm. dos cursos'!H79=2024,'Controle adm. dos cursos'!D79," ")</f>
        <v>Sistema de Comando de Incidentes</v>
      </c>
      <c r="B78" s="98" t="str">
        <f>'Controle adm. dos cursos'!G79</f>
        <v>Legendários - Norte do Paraná</v>
      </c>
      <c r="C78" s="60">
        <f>'Resumo dos cursos'!N81</f>
        <v>8</v>
      </c>
      <c r="D78" s="60">
        <f>'Resumo dos cursos'!O81</f>
        <v>8</v>
      </c>
      <c r="E78" s="60">
        <f>'Resumo dos cursos'!P81</f>
        <v>5</v>
      </c>
      <c r="F78" s="57">
        <f t="shared" si="2"/>
        <v>62.5</v>
      </c>
      <c r="G78" s="60">
        <f>'Resumo dos cursos'!R81</f>
        <v>0</v>
      </c>
      <c r="H78" s="60">
        <f>'Resumo dos cursos'!S81</f>
        <v>2</v>
      </c>
      <c r="I78" s="60">
        <f>'Resumo dos cursos'!T81</f>
        <v>1</v>
      </c>
      <c r="J78" s="91">
        <f>'Resumo dos cursos'!U81</f>
        <v>0</v>
      </c>
    </row>
    <row r="79" spans="1:10" ht="25.5" hidden="1" x14ac:dyDescent="0.25">
      <c r="A79" s="90" t="str">
        <f>IF('Controle adm. dos cursos'!H80=2024,'Controle adm. dos cursos'!D80," ")</f>
        <v>Capacitação de Brigadistas Civis Municipais</v>
      </c>
      <c r="B79" s="98" t="str">
        <f>'Controle adm. dos cursos'!G80</f>
        <v>I 2024</v>
      </c>
      <c r="C79" s="60">
        <f>'Resumo dos cursos'!N82</f>
        <v>31</v>
      </c>
      <c r="D79" s="60">
        <f>'Resumo dos cursos'!O82</f>
        <v>31</v>
      </c>
      <c r="E79" s="60">
        <f>'Resumo dos cursos'!P82</f>
        <v>11</v>
      </c>
      <c r="F79" s="57">
        <f t="shared" si="2"/>
        <v>35.483870967741936</v>
      </c>
      <c r="G79" s="60">
        <f>'Resumo dos cursos'!R82</f>
        <v>4</v>
      </c>
      <c r="H79" s="60">
        <f>'Resumo dos cursos'!S82</f>
        <v>2</v>
      </c>
      <c r="I79" s="60">
        <f>'Resumo dos cursos'!T82</f>
        <v>14</v>
      </c>
      <c r="J79" s="91">
        <f>'Resumo dos cursos'!U82</f>
        <v>0</v>
      </c>
    </row>
    <row r="80" spans="1:10" hidden="1" x14ac:dyDescent="0.25">
      <c r="A80" s="90" t="str">
        <f>IF('Controle adm. dos cursos'!H81=2024,'Controle adm. dos cursos'!D81," ")</f>
        <v>Sistema de Comando de Incidentes</v>
      </c>
      <c r="B80" s="98" t="str">
        <f>'Controle adm. dos cursos'!G81</f>
        <v>Marinha do Brasil</v>
      </c>
      <c r="C80" s="60">
        <f>'Resumo dos cursos'!N83</f>
        <v>5</v>
      </c>
      <c r="D80" s="60">
        <f>'Resumo dos cursos'!O83</f>
        <v>5</v>
      </c>
      <c r="E80" s="60">
        <f>'Resumo dos cursos'!P83</f>
        <v>5</v>
      </c>
      <c r="F80" s="57">
        <f t="shared" si="2"/>
        <v>100</v>
      </c>
      <c r="G80" s="60">
        <f>'Resumo dos cursos'!R83</f>
        <v>0</v>
      </c>
      <c r="H80" s="60">
        <f>'Resumo dos cursos'!S83</f>
        <v>0</v>
      </c>
      <c r="I80" s="60">
        <f>'Resumo dos cursos'!T83</f>
        <v>0</v>
      </c>
      <c r="J80" s="91">
        <f>'Resumo dos cursos'!U83</f>
        <v>0</v>
      </c>
    </row>
    <row r="81" spans="1:10" hidden="1" x14ac:dyDescent="0.25">
      <c r="A81" s="90" t="str">
        <f>IF('Controle adm. dos cursos'!H82=2024,'Controle adm. dos cursos'!D82," ")</f>
        <v>Sistema de Comando de Incidentes</v>
      </c>
      <c r="B81" s="98" t="str">
        <f>'Controle adm. dos cursos'!G82</f>
        <v>Brigadistas Civis Municipais</v>
      </c>
      <c r="C81" s="60">
        <f>'Resumo dos cursos'!N84</f>
        <v>11</v>
      </c>
      <c r="D81" s="60">
        <f>'Resumo dos cursos'!O84</f>
        <v>11</v>
      </c>
      <c r="E81" s="60">
        <f>'Resumo dos cursos'!P84</f>
        <v>10</v>
      </c>
      <c r="F81" s="57">
        <f t="shared" si="2"/>
        <v>90.909090909090907</v>
      </c>
      <c r="G81" s="60">
        <f>'Resumo dos cursos'!R84</f>
        <v>0</v>
      </c>
      <c r="H81" s="60">
        <f>'Resumo dos cursos'!S84</f>
        <v>0</v>
      </c>
      <c r="I81" s="60">
        <f>'Resumo dos cursos'!T84</f>
        <v>1</v>
      </c>
      <c r="J81" s="91">
        <f>'Resumo dos cursos'!U84</f>
        <v>0</v>
      </c>
    </row>
    <row r="82" spans="1:10" ht="25.5" hidden="1" x14ac:dyDescent="0.25">
      <c r="A82" s="90" t="str">
        <f>IF('Controle adm. dos cursos'!H83=2024,'Controle adm. dos cursos'!D83," ")</f>
        <v>Curso Introdutório de Aeronaves Remotamente Pilotadas</v>
      </c>
      <c r="B82" s="98" t="str">
        <f>'Controle adm. dos cursos'!G83</f>
        <v>II - SEDEST</v>
      </c>
      <c r="C82" s="60">
        <f>'Resumo dos cursos'!N85</f>
        <v>3</v>
      </c>
      <c r="D82" s="60">
        <f>'Resumo dos cursos'!O85</f>
        <v>3</v>
      </c>
      <c r="E82" s="60">
        <f>'Resumo dos cursos'!P85</f>
        <v>3</v>
      </c>
      <c r="F82" s="57">
        <f t="shared" si="2"/>
        <v>100</v>
      </c>
      <c r="G82" s="60">
        <f>'Resumo dos cursos'!R85</f>
        <v>0</v>
      </c>
      <c r="H82" s="60">
        <f>'Resumo dos cursos'!S85</f>
        <v>0</v>
      </c>
      <c r="I82" s="60">
        <f>'Resumo dos cursos'!T85</f>
        <v>0</v>
      </c>
      <c r="J82" s="91">
        <f>'Resumo dos cursos'!U85</f>
        <v>0</v>
      </c>
    </row>
    <row r="83" spans="1:10" ht="25.5" hidden="1" x14ac:dyDescent="0.25">
      <c r="A83" s="90" t="str">
        <f>IF('Controle adm. dos cursos'!H84=2024,'Controle adm. dos cursos'!D84," ")</f>
        <v>Curso Introdutório de Aeronaves Remotamente Pilotadas</v>
      </c>
      <c r="B83" s="98" t="str">
        <f>'Controle adm. dos cursos'!G84</f>
        <v>III - SECOM</v>
      </c>
      <c r="C83" s="60">
        <f>'Resumo dos cursos'!N86</f>
        <v>24</v>
      </c>
      <c r="D83" s="60">
        <f>'Resumo dos cursos'!O86</f>
        <v>24</v>
      </c>
      <c r="E83" s="60">
        <f>'Resumo dos cursos'!P86</f>
        <v>24</v>
      </c>
      <c r="F83" s="57">
        <f t="shared" si="2"/>
        <v>100</v>
      </c>
      <c r="G83" s="60">
        <f>'Resumo dos cursos'!R86</f>
        <v>0</v>
      </c>
      <c r="H83" s="60">
        <f>'Resumo dos cursos'!S86</f>
        <v>0</v>
      </c>
      <c r="I83" s="60">
        <f>'Resumo dos cursos'!T86</f>
        <v>0</v>
      </c>
      <c r="J83" s="91">
        <f>'Resumo dos cursos'!U86</f>
        <v>0</v>
      </c>
    </row>
    <row r="84" spans="1:10" hidden="1" x14ac:dyDescent="0.25">
      <c r="A84" s="90" t="str">
        <f>IF('Controle adm. dos cursos'!H85=2024,'Controle adm. dos cursos'!D85," ")</f>
        <v>Capacitação de Agentes de Defesa Civil</v>
      </c>
      <c r="B84" s="98" t="str">
        <f>'Controle adm. dos cursos'!G85</f>
        <v>II 2024</v>
      </c>
      <c r="C84" s="60">
        <f>'Resumo dos cursos'!N87</f>
        <v>25</v>
      </c>
      <c r="D84" s="60">
        <f>'Resumo dos cursos'!O87</f>
        <v>25</v>
      </c>
      <c r="E84" s="60">
        <f>'Resumo dos cursos'!P87</f>
        <v>9</v>
      </c>
      <c r="F84" s="57">
        <f t="shared" si="2"/>
        <v>36</v>
      </c>
      <c r="G84" s="60">
        <f>'Resumo dos cursos'!R87</f>
        <v>3</v>
      </c>
      <c r="H84" s="60">
        <f>'Resumo dos cursos'!S87</f>
        <v>1</v>
      </c>
      <c r="I84" s="60">
        <f>'Resumo dos cursos'!T87</f>
        <v>12</v>
      </c>
      <c r="J84" s="91">
        <f>'Resumo dos cursos'!U87</f>
        <v>0</v>
      </c>
    </row>
    <row r="85" spans="1:10" ht="38.25" hidden="1" x14ac:dyDescent="0.25">
      <c r="A85" s="90" t="str">
        <f>IF('Controle adm. dos cursos'!H86=2024,'Controle adm. dos cursos'!D86," ")</f>
        <v>Capacitação e Conhecimentos Fundamentais para Atividades de Defesa Civil </v>
      </c>
      <c r="B85" s="98" t="str">
        <f>'Controle adm. dos cursos'!G86</f>
        <v>2 CMEIV 2024</v>
      </c>
      <c r="C85" s="60">
        <f>'Resumo dos cursos'!N88</f>
        <v>28</v>
      </c>
      <c r="D85" s="60">
        <f>'Resumo dos cursos'!O88</f>
        <v>28</v>
      </c>
      <c r="E85" s="60">
        <f>'Resumo dos cursos'!P88</f>
        <v>11</v>
      </c>
      <c r="F85" s="57">
        <f t="shared" si="2"/>
        <v>39.285714285714285</v>
      </c>
      <c r="G85" s="60">
        <f>'Resumo dos cursos'!R88</f>
        <v>0</v>
      </c>
      <c r="H85" s="60">
        <f>'Resumo dos cursos'!S88</f>
        <v>0</v>
      </c>
      <c r="I85" s="60">
        <f>'Resumo dos cursos'!T88</f>
        <v>17</v>
      </c>
      <c r="J85" s="91">
        <f>'Resumo dos cursos'!U88</f>
        <v>0</v>
      </c>
    </row>
    <row r="86" spans="1:10" hidden="1" x14ac:dyDescent="0.25">
      <c r="A86" s="90" t="str">
        <f>IF('Controle adm. dos cursos'!H87=2024,'Controle adm. dos cursos'!D87," ")</f>
        <v>Sistema de Comando de Incidentes</v>
      </c>
      <c r="B86" s="98" t="str">
        <f>'Controle adm. dos cursos'!G87</f>
        <v>Assistência Social</v>
      </c>
      <c r="C86" s="60">
        <f>'Resumo dos cursos'!N89</f>
        <v>1</v>
      </c>
      <c r="D86" s="60">
        <f>'Resumo dos cursos'!O89</f>
        <v>1</v>
      </c>
      <c r="E86" s="60">
        <f>'Resumo dos cursos'!P89</f>
        <v>1</v>
      </c>
      <c r="F86" s="57">
        <f t="shared" si="2"/>
        <v>100</v>
      </c>
      <c r="G86" s="60">
        <f>'Resumo dos cursos'!R89</f>
        <v>0</v>
      </c>
      <c r="H86" s="60">
        <f>'Resumo dos cursos'!S89</f>
        <v>0</v>
      </c>
      <c r="I86" s="60">
        <f>'Resumo dos cursos'!T89</f>
        <v>0</v>
      </c>
      <c r="J86" s="91">
        <f>'Resumo dos cursos'!U89</f>
        <v>0</v>
      </c>
    </row>
    <row r="87" spans="1:10" hidden="1" x14ac:dyDescent="0.25">
      <c r="A87" s="90" t="str">
        <f>IF('Controle adm. dos cursos'!H88=2024,'Controle adm. dos cursos'!D88," ")</f>
        <v>Sistema de Comando de Incidentes</v>
      </c>
      <c r="B87" s="98" t="str">
        <f>'Controle adm. dos cursos'!G88</f>
        <v>1º Seminário Estadual P2R2</v>
      </c>
      <c r="C87" s="60">
        <f>'Resumo dos cursos'!N90</f>
        <v>2</v>
      </c>
      <c r="D87" s="60">
        <f>'Resumo dos cursos'!O90</f>
        <v>2</v>
      </c>
      <c r="E87" s="60">
        <f>'Resumo dos cursos'!P90</f>
        <v>0</v>
      </c>
      <c r="F87" s="57">
        <f t="shared" si="2"/>
        <v>0</v>
      </c>
      <c r="G87" s="60">
        <f>'Resumo dos cursos'!R90</f>
        <v>0</v>
      </c>
      <c r="H87" s="60">
        <f>'Resumo dos cursos'!S90</f>
        <v>0</v>
      </c>
      <c r="I87" s="60">
        <f>'Resumo dos cursos'!T90</f>
        <v>0</v>
      </c>
      <c r="J87" s="91">
        <f>'Resumo dos cursos'!U90</f>
        <v>0</v>
      </c>
    </row>
    <row r="88" spans="1:10" ht="38.25" x14ac:dyDescent="0.25">
      <c r="A88" s="90" t="str">
        <f>IF('Controle adm. dos cursos'!H89=2025,'Controle adm. dos cursos'!D89," ")</f>
        <v>Capacitação e Conhecimentos Fundamentais para Atividades de Defesa Civil </v>
      </c>
      <c r="B88" s="125" t="str">
        <f>'Controle adm. dos cursos'!G89</f>
        <v>CMEIV 2025</v>
      </c>
      <c r="C88" s="60">
        <f>'Resumo dos cursos'!N91</f>
        <v>248</v>
      </c>
      <c r="D88" s="60">
        <f>'Resumo dos cursos'!O91</f>
        <v>248</v>
      </c>
      <c r="E88" s="60">
        <f>'Resumo dos cursos'!P91</f>
        <v>29</v>
      </c>
      <c r="F88" s="57">
        <f t="shared" si="2"/>
        <v>11.693548387096774</v>
      </c>
      <c r="G88" s="60">
        <f>'Resumo dos cursos'!R91</f>
        <v>0</v>
      </c>
      <c r="H88" s="60">
        <f>'Resumo dos cursos'!S91</f>
        <v>0</v>
      </c>
      <c r="I88" s="60">
        <f>'Resumo dos cursos'!T91</f>
        <v>0</v>
      </c>
      <c r="J88" s="91">
        <f>'Resumo dos cursos'!U91</f>
        <v>0</v>
      </c>
    </row>
    <row r="89" spans="1:10" ht="25.5" x14ac:dyDescent="0.25">
      <c r="A89" s="90" t="str">
        <f>IF('Controle adm. dos cursos'!H90=2025,'Controle adm. dos cursos'!D90," ")</f>
        <v>Capacitação em Brigadistas Civis Voluntários</v>
      </c>
      <c r="B89" s="98" t="str">
        <f>'Controle adm. dos cursos'!G90</f>
        <v>Indígenas FEM</v>
      </c>
      <c r="C89" s="60">
        <f>'Resumo dos cursos'!N92</f>
        <v>0</v>
      </c>
      <c r="D89" s="60">
        <f>'Resumo dos cursos'!O92</f>
        <v>0</v>
      </c>
      <c r="E89" s="60">
        <f>'Resumo dos cursos'!P92</f>
        <v>0</v>
      </c>
      <c r="F89" s="57">
        <f t="shared" si="2"/>
        <v>0</v>
      </c>
      <c r="G89" s="60">
        <f>'Resumo dos cursos'!R92</f>
        <v>0</v>
      </c>
      <c r="H89" s="60">
        <f>'Resumo dos cursos'!S92</f>
        <v>0</v>
      </c>
      <c r="I89" s="60">
        <f>'Resumo dos cursos'!T92</f>
        <v>0</v>
      </c>
      <c r="J89" s="91">
        <f>'Resumo dos cursos'!U92</f>
        <v>0</v>
      </c>
    </row>
    <row r="90" spans="1:10" ht="25.5" x14ac:dyDescent="0.25">
      <c r="A90" s="90" t="str">
        <f>IF('Controle adm. dos cursos'!H91=2025,'Controle adm. dos cursos'!D91," ")</f>
        <v>Capacitação em Brigadistas Civis Voluntários</v>
      </c>
      <c r="B90" s="98" t="str">
        <f>'Controle adm. dos cursos'!G91</f>
        <v>I 2025</v>
      </c>
      <c r="C90" s="60">
        <f>'Resumo dos cursos'!N93</f>
        <v>3</v>
      </c>
      <c r="D90" s="60">
        <f>'Resumo dos cursos'!O93</f>
        <v>3</v>
      </c>
      <c r="E90" s="60">
        <f>'Resumo dos cursos'!P93</f>
        <v>3</v>
      </c>
      <c r="F90" s="57">
        <f t="shared" si="2"/>
        <v>100</v>
      </c>
      <c r="G90" s="60">
        <f>'Resumo dos cursos'!R93</f>
        <v>0</v>
      </c>
      <c r="H90" s="60">
        <f>'Resumo dos cursos'!S93</f>
        <v>0</v>
      </c>
      <c r="I90" s="60">
        <f>'Resumo dos cursos'!T93</f>
        <v>0</v>
      </c>
      <c r="J90" s="91">
        <f>'Resumo dos cursos'!U93</f>
        <v>0</v>
      </c>
    </row>
    <row r="91" spans="1:10" x14ac:dyDescent="0.25">
      <c r="A91" s="90" t="str">
        <f>IF('Controle adm. dos cursos'!H92=2025,'Controle adm. dos cursos'!D92," ")</f>
        <v>Plano Anual de Instrução</v>
      </c>
      <c r="B91" s="98" t="str">
        <f>'Controle adm. dos cursos'!G92</f>
        <v>7º BBM</v>
      </c>
      <c r="C91" s="60">
        <f>'Resumo dos cursos'!N94</f>
        <v>470</v>
      </c>
      <c r="D91" s="60">
        <f>'Resumo dos cursos'!O94</f>
        <v>470</v>
      </c>
      <c r="E91" s="60">
        <f>'Resumo dos cursos'!P94</f>
        <v>261</v>
      </c>
      <c r="F91" s="57">
        <f t="shared" si="2"/>
        <v>55.531914893617021</v>
      </c>
      <c r="G91" s="60">
        <f>'Resumo dos cursos'!R94</f>
        <v>4</v>
      </c>
      <c r="H91" s="60">
        <f>'Resumo dos cursos'!S94</f>
        <v>0</v>
      </c>
      <c r="I91" s="60">
        <f>'Resumo dos cursos'!T94</f>
        <v>205</v>
      </c>
      <c r="J91" s="91">
        <f>'Resumo dos cursos'!U94</f>
        <v>0</v>
      </c>
    </row>
    <row r="92" spans="1:10" x14ac:dyDescent="0.25">
      <c r="A92" s="90" t="str">
        <f>IF('Controle adm. dos cursos'!H93=2025,'Controle adm. dos cursos'!D93," ")</f>
        <v>Capacitação de Agentes de Defesa Civil</v>
      </c>
      <c r="B92" s="98" t="str">
        <f>'Controle adm. dos cursos'!G93</f>
        <v>I 2025</v>
      </c>
      <c r="C92" s="60">
        <f>'Resumo dos cursos'!N95</f>
        <v>5149</v>
      </c>
      <c r="D92" s="60">
        <f>'Resumo dos cursos'!O95</f>
        <v>5149</v>
      </c>
      <c r="E92" s="60">
        <f>'Resumo dos cursos'!P95</f>
        <v>4456</v>
      </c>
      <c r="F92" s="57">
        <f t="shared" si="2"/>
        <v>86.541075937075163</v>
      </c>
      <c r="G92" s="60">
        <f>'Resumo dos cursos'!R95</f>
        <v>112</v>
      </c>
      <c r="H92" s="60">
        <f>'Resumo dos cursos'!S95</f>
        <v>207</v>
      </c>
      <c r="I92" s="60">
        <f>'Resumo dos cursos'!T95</f>
        <v>374</v>
      </c>
      <c r="J92" s="91">
        <f>'Resumo dos cursos'!U95</f>
        <v>0</v>
      </c>
    </row>
    <row r="93" spans="1:10" ht="38.25" x14ac:dyDescent="0.25">
      <c r="A93" s="90" t="str">
        <f>IF('Controle adm. dos cursos'!H94=2025,'Controle adm. dos cursos'!D94," ")</f>
        <v>Conhecimentos Fundamentais para Gestores Municipais de Proteção e Defesa Civil</v>
      </c>
      <c r="B93" s="98" t="str">
        <f>'Controle adm. dos cursos'!G94</f>
        <v>I 2025</v>
      </c>
      <c r="C93" s="60">
        <f>'Resumo dos cursos'!N96</f>
        <v>55</v>
      </c>
      <c r="D93" s="60">
        <f>'Resumo dos cursos'!O96</f>
        <v>55</v>
      </c>
      <c r="E93" s="60">
        <f>'Resumo dos cursos'!P96</f>
        <v>49</v>
      </c>
      <c r="F93" s="57">
        <f t="shared" si="2"/>
        <v>89.090909090909093</v>
      </c>
      <c r="G93" s="60">
        <f>'Resumo dos cursos'!R96</f>
        <v>4</v>
      </c>
      <c r="H93" s="60">
        <f>'Resumo dos cursos'!S96</f>
        <v>2</v>
      </c>
      <c r="I93" s="60">
        <f>'Resumo dos cursos'!T96</f>
        <v>0</v>
      </c>
      <c r="J93" s="91">
        <f>'Resumo dos cursos'!U96</f>
        <v>0</v>
      </c>
    </row>
    <row r="94" spans="1:10" ht="25.5" x14ac:dyDescent="0.25">
      <c r="A94" s="90" t="str">
        <f>IF('Controle adm. dos cursos'!H95=2025,'Controle adm. dos cursos'!D95," ")</f>
        <v>Formação de Brigadistas Escolares e Monitores de Segurança</v>
      </c>
      <c r="B94" s="98" t="str">
        <f>'Controle adm. dos cursos'!G95</f>
        <v>I 2025</v>
      </c>
      <c r="C94" s="60">
        <f>'Resumo dos cursos'!N97</f>
        <v>111</v>
      </c>
      <c r="D94" s="60">
        <f>'Resumo dos cursos'!O97</f>
        <v>111</v>
      </c>
      <c r="E94" s="60">
        <f>'Resumo dos cursos'!P97</f>
        <v>75</v>
      </c>
      <c r="F94" s="57">
        <f t="shared" ref="F94:F102" si="3">IFERROR(((E94*100)/D94),0)</f>
        <v>67.567567567567565</v>
      </c>
      <c r="G94" s="60">
        <f>'Resumo dos cursos'!R97</f>
        <v>14</v>
      </c>
      <c r="H94" s="60">
        <f>'Resumo dos cursos'!S97</f>
        <v>5</v>
      </c>
      <c r="I94" s="60">
        <f>'Resumo dos cursos'!T97</f>
        <v>17</v>
      </c>
      <c r="J94" s="91">
        <f>'Resumo dos cursos'!U97</f>
        <v>0</v>
      </c>
    </row>
    <row r="95" spans="1:10" x14ac:dyDescent="0.25">
      <c r="A95" s="90" t="str">
        <f>IF('Controle adm. dos cursos'!H96=2025,'Controle adm. dos cursos'!D96," ")</f>
        <v>Capacitação de Agentes de Defesa Civil</v>
      </c>
      <c r="B95" s="98" t="str">
        <f>'Controle adm. dos cursos'!G96</f>
        <v>II 2025</v>
      </c>
      <c r="C95" s="60">
        <f>'Resumo dos cursos'!N98</f>
        <v>153</v>
      </c>
      <c r="D95" s="60">
        <f>'Resumo dos cursos'!O98</f>
        <v>153</v>
      </c>
      <c r="E95" s="60">
        <f>'Resumo dos cursos'!P98</f>
        <v>114</v>
      </c>
      <c r="F95" s="57">
        <f t="shared" si="3"/>
        <v>74.509803921568633</v>
      </c>
      <c r="G95" s="60">
        <f>'Resumo dos cursos'!R98</f>
        <v>11</v>
      </c>
      <c r="H95" s="60">
        <f>'Resumo dos cursos'!S98</f>
        <v>10</v>
      </c>
      <c r="I95" s="60">
        <f>'Resumo dos cursos'!T98</f>
        <v>18</v>
      </c>
      <c r="J95" s="91">
        <f>'Resumo dos cursos'!U98</f>
        <v>0</v>
      </c>
    </row>
    <row r="96" spans="1:10" ht="25.5" x14ac:dyDescent="0.25">
      <c r="A96" s="90" t="str">
        <f>IF('Controle adm. dos cursos'!H97=2025,'Controle adm. dos cursos'!D97," ")</f>
        <v>Atendimento de Emergências em Edificações</v>
      </c>
      <c r="B96" s="98" t="str">
        <f>'Controle adm. dos cursos'!G97</f>
        <v>UNESPAR</v>
      </c>
      <c r="C96" s="60">
        <f>'Resumo dos cursos'!N99</f>
        <v>282</v>
      </c>
      <c r="D96" s="60">
        <f>'Resumo dos cursos'!O99</f>
        <v>282</v>
      </c>
      <c r="E96" s="60">
        <f>'Resumo dos cursos'!P99</f>
        <v>84</v>
      </c>
      <c r="F96" s="57">
        <f t="shared" si="3"/>
        <v>29.787234042553191</v>
      </c>
      <c r="G96" s="60">
        <f>'Resumo dos cursos'!R99</f>
        <v>7</v>
      </c>
      <c r="H96" s="60">
        <f>'Resumo dos cursos'!S99</f>
        <v>14</v>
      </c>
      <c r="I96" s="60">
        <f>'Resumo dos cursos'!T99</f>
        <v>177</v>
      </c>
      <c r="J96" s="91">
        <f>'Resumo dos cursos'!U99</f>
        <v>0</v>
      </c>
    </row>
    <row r="97" spans="1:10" x14ac:dyDescent="0.25">
      <c r="A97" s="90" t="str">
        <f>IF('Controle adm. dos cursos'!H98=2025,'Controle adm. dos cursos'!D98," ")</f>
        <v>Capacitação de Agentes de Defesa Civil</v>
      </c>
      <c r="B97" s="98" t="str">
        <f>'Controle adm. dos cursos'!G98</f>
        <v>III 2025</v>
      </c>
      <c r="C97" s="60">
        <f>'Resumo dos cursos'!N100</f>
        <v>0</v>
      </c>
      <c r="D97" s="60">
        <f>'Resumo dos cursos'!O100</f>
        <v>0</v>
      </c>
      <c r="E97" s="60">
        <f>'Resumo dos cursos'!P100</f>
        <v>0</v>
      </c>
      <c r="F97" s="57">
        <f t="shared" si="3"/>
        <v>0</v>
      </c>
      <c r="G97" s="60">
        <f>'Resumo dos cursos'!R100</f>
        <v>0</v>
      </c>
      <c r="H97" s="60">
        <f>'Resumo dos cursos'!S100</f>
        <v>0</v>
      </c>
      <c r="I97" s="60">
        <f>'Resumo dos cursos'!T100</f>
        <v>0</v>
      </c>
      <c r="J97" s="91">
        <f>'Resumo dos cursos'!U100</f>
        <v>0</v>
      </c>
    </row>
    <row r="98" spans="1:10" x14ac:dyDescent="0.25">
      <c r="A98" s="90" t="str">
        <f>IF('Controle adm. dos cursos'!H99=2025,'Controle adm. dos cursos'!D99," ")</f>
        <v>Sistema de Comando de Incidentes</v>
      </c>
      <c r="B98" s="98" t="str">
        <f>'Controle adm. dos cursos'!G99</f>
        <v>CRMV</v>
      </c>
      <c r="C98" s="60">
        <f>'Resumo dos cursos'!N101</f>
        <v>51</v>
      </c>
      <c r="D98" s="60">
        <f>'Resumo dos cursos'!O101</f>
        <v>51</v>
      </c>
      <c r="E98" s="60">
        <f>'Resumo dos cursos'!P101</f>
        <v>46</v>
      </c>
      <c r="F98" s="57">
        <f t="shared" si="3"/>
        <v>90.196078431372555</v>
      </c>
      <c r="G98" s="60">
        <f>'Resumo dos cursos'!R101</f>
        <v>0</v>
      </c>
      <c r="H98" s="60">
        <f>'Resumo dos cursos'!S101</f>
        <v>0</v>
      </c>
      <c r="I98" s="60">
        <f>'Resumo dos cursos'!T101</f>
        <v>5</v>
      </c>
      <c r="J98" s="91">
        <f>'Resumo dos cursos'!U101</f>
        <v>0</v>
      </c>
    </row>
    <row r="99" spans="1:10" ht="38.25" x14ac:dyDescent="0.25">
      <c r="A99" s="90" t="str">
        <f>IF('Controle adm. dos cursos'!H100=2025,'Controle adm. dos cursos'!D100," ")</f>
        <v>Capacitação e Conhecimentos Fundamentais para Atividades de Defesa Civil</v>
      </c>
      <c r="B99" s="125" t="str">
        <f>'Controle adm. dos cursos'!G100</f>
        <v>QPPE Defesa Civil</v>
      </c>
      <c r="C99" s="60">
        <f>'Resumo dos cursos'!N102</f>
        <v>38</v>
      </c>
      <c r="D99" s="60">
        <f>'Resumo dos cursos'!O102</f>
        <v>38</v>
      </c>
      <c r="E99" s="60">
        <f>'Resumo dos cursos'!P102</f>
        <v>38</v>
      </c>
      <c r="F99" s="57">
        <f t="shared" si="3"/>
        <v>100</v>
      </c>
      <c r="G99" s="60">
        <f>'Resumo dos cursos'!R102</f>
        <v>0</v>
      </c>
      <c r="H99" s="60">
        <f>'Resumo dos cursos'!S102</f>
        <v>0</v>
      </c>
      <c r="I99" s="60">
        <f>'Resumo dos cursos'!T102</f>
        <v>0</v>
      </c>
      <c r="J99" s="91">
        <f>'Resumo dos cursos'!U102</f>
        <v>0</v>
      </c>
    </row>
    <row r="100" spans="1:10" ht="38.25" x14ac:dyDescent="0.25">
      <c r="A100" s="90" t="str">
        <f>IF('Controle adm. dos cursos'!H101=2025,'Controle adm. dos cursos'!D101," ")</f>
        <v>Conhecimentos Básicos para Integrantes da Rede Estadual de Emergência de Radioamadores</v>
      </c>
      <c r="B100" s="125" t="str">
        <f>'Controle adm. dos cursos'!G101</f>
        <v>Adjuntos</v>
      </c>
      <c r="C100" s="60">
        <f>'Resumo dos cursos'!N103</f>
        <v>24</v>
      </c>
      <c r="D100" s="60">
        <f>'Resumo dos cursos'!O103</f>
        <v>24</v>
      </c>
      <c r="E100" s="60">
        <f>'Resumo dos cursos'!P103</f>
        <v>24</v>
      </c>
      <c r="F100" s="57">
        <f t="shared" si="3"/>
        <v>100</v>
      </c>
      <c r="G100" s="60">
        <f>'Resumo dos cursos'!R103</f>
        <v>0</v>
      </c>
      <c r="H100" s="60">
        <f>'Resumo dos cursos'!S103</f>
        <v>0</v>
      </c>
      <c r="I100" s="60">
        <f>'Resumo dos cursos'!T103</f>
        <v>0</v>
      </c>
      <c r="J100" s="91">
        <f>'Resumo dos cursos'!U103</f>
        <v>0</v>
      </c>
    </row>
    <row r="101" spans="1:10" ht="38.25" x14ac:dyDescent="0.25">
      <c r="A101" s="90" t="str">
        <f>IF('Controle adm. dos cursos'!H102=2025,'Controle adm. dos cursos'!D102," ")</f>
        <v>Conhecimentos Básicos para Integrantes da Rede Estadual de Emergência de Radioamadores</v>
      </c>
      <c r="B101" s="98" t="str">
        <f>'Controle adm. dos cursos'!G102</f>
        <v>Supervisores</v>
      </c>
      <c r="C101" s="60">
        <f>'Resumo dos cursos'!N104</f>
        <v>10</v>
      </c>
      <c r="D101" s="60">
        <f>'Resumo dos cursos'!O104</f>
        <v>10</v>
      </c>
      <c r="E101" s="60">
        <f>'Resumo dos cursos'!P104</f>
        <v>10</v>
      </c>
      <c r="F101" s="57">
        <f t="shared" si="3"/>
        <v>100</v>
      </c>
      <c r="G101" s="60">
        <f>'Resumo dos cursos'!R104</f>
        <v>0</v>
      </c>
      <c r="H101" s="60">
        <f>'Resumo dos cursos'!S104</f>
        <v>0</v>
      </c>
      <c r="I101" s="60">
        <f>'Resumo dos cursos'!T104</f>
        <v>0</v>
      </c>
      <c r="J101" s="91">
        <f>'Resumo dos cursos'!U104</f>
        <v>0</v>
      </c>
    </row>
    <row r="102" spans="1:10" ht="25.5" x14ac:dyDescent="0.25">
      <c r="A102" s="90" t="str">
        <f>IF('Controle adm. dos cursos'!H103=2025,'Controle adm. dos cursos'!D103," ")</f>
        <v>Curso Introdutório de Aeronaves Remotamente Pilotadas</v>
      </c>
      <c r="B102" s="98" t="str">
        <f>'Controle adm. dos cursos'!G103</f>
        <v>PMCGS</v>
      </c>
      <c r="C102" s="60">
        <f>'Resumo dos cursos'!N105</f>
        <v>0</v>
      </c>
      <c r="D102" s="60">
        <f>'Resumo dos cursos'!O105</f>
        <v>0</v>
      </c>
      <c r="E102" s="60">
        <f>'Resumo dos cursos'!P105</f>
        <v>0</v>
      </c>
      <c r="F102" s="57">
        <f t="shared" si="3"/>
        <v>0</v>
      </c>
      <c r="G102" s="60">
        <f>'Resumo dos cursos'!R105</f>
        <v>0</v>
      </c>
      <c r="H102" s="60">
        <f>'Resumo dos cursos'!S105</f>
        <v>0</v>
      </c>
      <c r="I102" s="60">
        <f>'Resumo dos cursos'!T105</f>
        <v>0</v>
      </c>
      <c r="J102" s="91">
        <f>'Resumo dos cursos'!U105</f>
        <v>0</v>
      </c>
    </row>
    <row r="103" spans="1:10" ht="25.5" x14ac:dyDescent="0.25">
      <c r="A103" s="90" t="str">
        <f>IF('Controle adm. dos cursos'!H104=2025,'Controle adm. dos cursos'!D104," ")</f>
        <v>Curso Introdutório de Aeronaves Remotamente Pilotadas</v>
      </c>
      <c r="B103" s="98" t="str">
        <f>'Controle adm. dos cursos'!G104</f>
        <v>IAT</v>
      </c>
      <c r="C103" s="60">
        <f>'Resumo dos cursos'!N106</f>
        <v>37</v>
      </c>
      <c r="D103" s="60">
        <f>'Resumo dos cursos'!O106</f>
        <v>37</v>
      </c>
      <c r="E103" s="60">
        <f>'Resumo dos cursos'!P106</f>
        <v>35</v>
      </c>
      <c r="F103" s="57">
        <f t="shared" ref="F103:F109" si="4">IFERROR(((E103*100)/D103),0)</f>
        <v>94.594594594594597</v>
      </c>
      <c r="G103" s="60">
        <f>'Resumo dos cursos'!R106</f>
        <v>1</v>
      </c>
      <c r="H103" s="60">
        <f>'Resumo dos cursos'!S106</f>
        <v>0</v>
      </c>
      <c r="I103" s="60">
        <f>'Resumo dos cursos'!T106</f>
        <v>1</v>
      </c>
      <c r="J103" s="91">
        <f>'Resumo dos cursos'!U106</f>
        <v>0</v>
      </c>
    </row>
    <row r="104" spans="1:10" ht="25.5" x14ac:dyDescent="0.25">
      <c r="A104" s="90" t="str">
        <f>IF('Controle adm. dos cursos'!H105=2025,'Controle adm. dos cursos'!D105," ")</f>
        <v>Capacitação em Brigadistas Civis Voluntários</v>
      </c>
      <c r="B104" s="125" t="str">
        <f>'Controle adm. dos cursos'!G105</f>
        <v>Legendários Curitiba</v>
      </c>
      <c r="C104" s="60">
        <f>'Resumo dos cursos'!N107</f>
        <v>0</v>
      </c>
      <c r="D104" s="60">
        <f>'Resumo dos cursos'!O107</f>
        <v>0</v>
      </c>
      <c r="E104" s="60">
        <f>'Resumo dos cursos'!P107</f>
        <v>0</v>
      </c>
      <c r="F104" s="57">
        <f t="shared" si="4"/>
        <v>0</v>
      </c>
      <c r="G104" s="60">
        <f>'Resumo dos cursos'!R107</f>
        <v>0</v>
      </c>
      <c r="H104" s="60">
        <f>'Resumo dos cursos'!S107</f>
        <v>0</v>
      </c>
      <c r="I104" s="60">
        <f>'Resumo dos cursos'!T107</f>
        <v>0</v>
      </c>
      <c r="J104" s="91">
        <f>'Resumo dos cursos'!U107</f>
        <v>0</v>
      </c>
    </row>
    <row r="105" spans="1:10" x14ac:dyDescent="0.25">
      <c r="A105" s="90" t="str">
        <f>IF('Controle adm. dos cursos'!H106=2025,'Controle adm. dos cursos'!D106," ")</f>
        <v>Capacitação de Agentes de Defesa Civil</v>
      </c>
      <c r="B105" s="125" t="str">
        <f>'Controle adm. dos cursos'!G106</f>
        <v>IV 2025</v>
      </c>
      <c r="C105" s="60">
        <f>'Resumo dos cursos'!N108</f>
        <v>48</v>
      </c>
      <c r="D105" s="60">
        <f>'Resumo dos cursos'!O108</f>
        <v>48</v>
      </c>
      <c r="E105" s="60">
        <f>'Resumo dos cursos'!P108</f>
        <v>43</v>
      </c>
      <c r="F105" s="57">
        <f t="shared" si="4"/>
        <v>89.583333333333329</v>
      </c>
      <c r="G105" s="60">
        <f>'Resumo dos cursos'!R108</f>
        <v>0</v>
      </c>
      <c r="H105" s="60">
        <f>'Resumo dos cursos'!S108</f>
        <v>1</v>
      </c>
      <c r="I105" s="60">
        <f>'Resumo dos cursos'!T108</f>
        <v>4</v>
      </c>
      <c r="J105" s="91">
        <f>'Resumo dos cursos'!U108</f>
        <v>0</v>
      </c>
    </row>
    <row r="106" spans="1:10" ht="25.5" x14ac:dyDescent="0.25">
      <c r="A106" s="90" t="str">
        <f>IF('Controle adm. dos cursos'!H107=2025,'Controle adm. dos cursos'!D107," ")</f>
        <v>Capacitação de Brigadistas Civis Municipais</v>
      </c>
      <c r="B106" s="125" t="str">
        <f>'Controle adm. dos cursos'!G107</f>
        <v>I 2025</v>
      </c>
      <c r="C106" s="60">
        <f>'Resumo dos cursos'!N109</f>
        <v>128</v>
      </c>
      <c r="D106" s="60">
        <f>'Resumo dos cursos'!O109</f>
        <v>128</v>
      </c>
      <c r="E106" s="60">
        <f>'Resumo dos cursos'!P109</f>
        <v>85</v>
      </c>
      <c r="F106" s="57">
        <f t="shared" si="4"/>
        <v>66.40625</v>
      </c>
      <c r="G106" s="60">
        <f>'Resumo dos cursos'!R109</f>
        <v>0</v>
      </c>
      <c r="H106" s="60">
        <f>'Resumo dos cursos'!S109</f>
        <v>12</v>
      </c>
      <c r="I106" s="60">
        <f>'Resumo dos cursos'!T109</f>
        <v>31</v>
      </c>
      <c r="J106" s="91">
        <f>'Resumo dos cursos'!U109</f>
        <v>0</v>
      </c>
    </row>
    <row r="107" spans="1:10" x14ac:dyDescent="0.25">
      <c r="A107" s="90" t="str">
        <f>IF('Controle adm. dos cursos'!H108=2025,'Controle adm. dos cursos'!D108," ")</f>
        <v>Sistema de Comando de Incidentes</v>
      </c>
      <c r="B107" s="125" t="str">
        <f>'Controle adm. dos cursos'!G108</f>
        <v>SEAGRI</v>
      </c>
      <c r="C107" s="60">
        <f>'Resumo dos cursos'!N110</f>
        <v>0</v>
      </c>
      <c r="D107" s="60">
        <f>'Resumo dos cursos'!O110</f>
        <v>0</v>
      </c>
      <c r="E107" s="60">
        <f>'Resumo dos cursos'!P110</f>
        <v>0</v>
      </c>
      <c r="F107" s="57">
        <f t="shared" si="4"/>
        <v>0</v>
      </c>
      <c r="G107" s="60">
        <f>'Resumo dos cursos'!R110</f>
        <v>0</v>
      </c>
      <c r="H107" s="60">
        <f>'Resumo dos cursos'!S110</f>
        <v>0</v>
      </c>
      <c r="I107" s="60">
        <f>'Resumo dos cursos'!T110</f>
        <v>0</v>
      </c>
      <c r="J107" s="91">
        <f>'Resumo dos cursos'!U110</f>
        <v>0</v>
      </c>
    </row>
    <row r="108" spans="1:10" ht="25.5" x14ac:dyDescent="0.25">
      <c r="A108" s="90" t="str">
        <f>IF('Controle adm. dos cursos'!H109=2025,'Controle adm. dos cursos'!D109," ")</f>
        <v>Atendimento a Emergências com Produtos Perigosos</v>
      </c>
      <c r="B108" s="125" t="str">
        <f>'Controle adm. dos cursos'!G109</f>
        <v>P2R2</v>
      </c>
      <c r="C108" s="60">
        <f>'Resumo dos cursos'!N112</f>
        <v>0</v>
      </c>
      <c r="D108" s="60">
        <f>'Resumo dos cursos'!O112</f>
        <v>0</v>
      </c>
      <c r="E108" s="60">
        <f>'Resumo dos cursos'!P112</f>
        <v>0</v>
      </c>
      <c r="F108" s="57">
        <f t="shared" si="4"/>
        <v>0</v>
      </c>
      <c r="G108" s="60">
        <f>'Resumo dos cursos'!R112</f>
        <v>0</v>
      </c>
      <c r="H108" s="60">
        <f>'Resumo dos cursos'!S112</f>
        <v>0</v>
      </c>
      <c r="I108" s="60">
        <f>'Resumo dos cursos'!T112</f>
        <v>0</v>
      </c>
      <c r="J108" s="91">
        <f>'Resumo dos cursos'!U112</f>
        <v>0</v>
      </c>
    </row>
    <row r="109" spans="1:10" ht="25.5" x14ac:dyDescent="0.25">
      <c r="A109" s="90" t="str">
        <f>IF('Controle adm. dos cursos'!H110=2025,'Controle adm. dos cursos'!D110," ")</f>
        <v>Capacitação em Brigadistas Civis Voluntários</v>
      </c>
      <c r="B109" s="125" t="str">
        <f>'Controle adm. dos cursos'!G110</f>
        <v>Quilombolas</v>
      </c>
      <c r="C109" s="60">
        <f>'Resumo dos cursos'!N116</f>
        <v>0</v>
      </c>
      <c r="D109" s="60">
        <f>'Resumo dos cursos'!O116</f>
        <v>0</v>
      </c>
      <c r="E109" s="60">
        <f>'Resumo dos cursos'!P116</f>
        <v>0</v>
      </c>
      <c r="F109" s="57">
        <f t="shared" si="4"/>
        <v>0</v>
      </c>
      <c r="G109" s="60">
        <f>'Resumo dos cursos'!R116</f>
        <v>0</v>
      </c>
      <c r="H109" s="60">
        <f>'Resumo dos cursos'!S116</f>
        <v>0</v>
      </c>
      <c r="I109" s="60">
        <f>'Resumo dos cursos'!T116</f>
        <v>0</v>
      </c>
      <c r="J109" s="91">
        <f>'Resumo dos cursos'!U116</f>
        <v>0</v>
      </c>
    </row>
    <row r="110" spans="1:10" ht="33.75" x14ac:dyDescent="0.25">
      <c r="A110" s="90" t="str">
        <f>IF('Controle adm. dos cursos'!H111=2025,'Controle adm. dos cursos'!D111," ")</f>
        <v>Capacitação em Brigadistas Civis Voluntários</v>
      </c>
      <c r="B110" s="125" t="str">
        <f>'Controle adm. dos cursos'!G111</f>
        <v>Parque Est. Serra da Baitaca</v>
      </c>
      <c r="C110" s="60">
        <f>'Resumo dos cursos'!N117</f>
        <v>0</v>
      </c>
      <c r="D110" s="60">
        <f>'Resumo dos cursos'!O117</f>
        <v>0</v>
      </c>
      <c r="E110" s="60">
        <f>'Resumo dos cursos'!P117</f>
        <v>0</v>
      </c>
      <c r="F110" s="57">
        <f t="shared" ref="F110" si="5">IFERROR(((E110*100)/D110),0)</f>
        <v>0</v>
      </c>
      <c r="G110" s="60">
        <f>'Resumo dos cursos'!R117</f>
        <v>0</v>
      </c>
      <c r="H110" s="60">
        <f>'Resumo dos cursos'!S117</f>
        <v>0</v>
      </c>
      <c r="I110" s="60">
        <f>'Resumo dos cursos'!T117</f>
        <v>0</v>
      </c>
      <c r="J110" s="91">
        <f>'Resumo dos cursos'!U117</f>
        <v>0</v>
      </c>
    </row>
    <row r="111" spans="1:10" x14ac:dyDescent="0.25">
      <c r="A111" s="90" t="str">
        <f>IF('Controle adm. dos cursos'!H112=2025,'Controle adm. dos cursos'!D112," ")</f>
        <v>Capacitação de Agentes de Defesa Civil</v>
      </c>
      <c r="B111" s="125" t="str">
        <f>'Controle adm. dos cursos'!G112</f>
        <v>V 2025</v>
      </c>
      <c r="C111" s="60">
        <f>'Resumo dos cursos'!N117</f>
        <v>0</v>
      </c>
      <c r="D111" s="60">
        <f>'Resumo dos cursos'!O117</f>
        <v>0</v>
      </c>
      <c r="E111" s="60">
        <f>'Resumo dos cursos'!P117</f>
        <v>0</v>
      </c>
      <c r="F111" s="57">
        <f t="shared" ref="F111" si="6">IFERROR(((E111*100)/D111),0)</f>
        <v>0</v>
      </c>
      <c r="G111" s="60">
        <f>'Resumo dos cursos'!R117</f>
        <v>0</v>
      </c>
      <c r="H111" s="60">
        <f>'Resumo dos cursos'!S117</f>
        <v>0</v>
      </c>
      <c r="I111" s="60">
        <f>'Resumo dos cursos'!T117</f>
        <v>0</v>
      </c>
      <c r="J111" s="91">
        <f>'Resumo dos cursos'!U117</f>
        <v>0</v>
      </c>
    </row>
    <row r="112" spans="1:10" ht="25.5" x14ac:dyDescent="0.25">
      <c r="A112" s="90" t="str">
        <f>IF('Controle adm. dos cursos'!H113=2025,'Controle adm. dos cursos'!D113," ")</f>
        <v>Capacitação em Brigadistas Civis Voluntários</v>
      </c>
      <c r="B112" s="125" t="str">
        <f>'Controle adm. dos cursos'!G113</f>
        <v>2 Quilombolas</v>
      </c>
      <c r="C112" s="60">
        <f>'Resumo dos cursos'!N118</f>
        <v>0</v>
      </c>
      <c r="D112" s="60">
        <f>'Resumo dos cursos'!O118</f>
        <v>0</v>
      </c>
      <c r="E112" s="60">
        <f>'Resumo dos cursos'!P118</f>
        <v>0</v>
      </c>
      <c r="F112" s="57">
        <f t="shared" ref="F112:F118" si="7">IFERROR(((E112*100)/D112),0)</f>
        <v>0</v>
      </c>
      <c r="G112" s="60">
        <f>'Resumo dos cursos'!R118</f>
        <v>0</v>
      </c>
      <c r="H112" s="60">
        <f>'Resumo dos cursos'!S118</f>
        <v>0</v>
      </c>
      <c r="I112" s="60">
        <f>'Resumo dos cursos'!T118</f>
        <v>0</v>
      </c>
      <c r="J112" s="91">
        <f>'Resumo dos cursos'!U118</f>
        <v>0</v>
      </c>
    </row>
    <row r="113" spans="1:10" ht="22.5" x14ac:dyDescent="0.25">
      <c r="A113" s="90" t="str">
        <f>IF('Controle adm. dos cursos'!H114=2025,'Controle adm. dos cursos'!D114," ")</f>
        <v>Sistema de Comando de Incidentes</v>
      </c>
      <c r="B113" s="125" t="str">
        <f>'Controle adm. dos cursos'!G114</f>
        <v>5ª Regional de Saúde</v>
      </c>
      <c r="C113" s="60">
        <f>'Resumo dos cursos'!N119</f>
        <v>0</v>
      </c>
      <c r="D113" s="60">
        <f>'Resumo dos cursos'!O119</f>
        <v>0</v>
      </c>
      <c r="E113" s="60">
        <f>'Resumo dos cursos'!P119</f>
        <v>0</v>
      </c>
      <c r="F113" s="57">
        <f t="shared" si="7"/>
        <v>0</v>
      </c>
      <c r="G113" s="60">
        <f>'Resumo dos cursos'!R119</f>
        <v>0</v>
      </c>
      <c r="H113" s="60">
        <f>'Resumo dos cursos'!S119</f>
        <v>0</v>
      </c>
      <c r="I113" s="60">
        <f>'Resumo dos cursos'!T119</f>
        <v>0</v>
      </c>
      <c r="J113" s="91">
        <f>'Resumo dos cursos'!U119</f>
        <v>0</v>
      </c>
    </row>
    <row r="114" spans="1:10" ht="25.5" x14ac:dyDescent="0.25">
      <c r="A114" s="90" t="str">
        <f>IF('Controle adm. dos cursos'!H115=2025,'Controle adm. dos cursos'!D115," ")</f>
        <v>Capacitação em Brigadistas Civis Voluntários</v>
      </c>
      <c r="B114" s="125" t="str">
        <f>'Controle adm. dos cursos'!G115</f>
        <v>Doutor Ulysses</v>
      </c>
      <c r="C114" s="60">
        <f>'Resumo dos cursos'!N120</f>
        <v>0</v>
      </c>
      <c r="D114" s="60">
        <f>'Resumo dos cursos'!O120</f>
        <v>0</v>
      </c>
      <c r="E114" s="60">
        <f>'Resumo dos cursos'!P120</f>
        <v>0</v>
      </c>
      <c r="F114" s="57">
        <f t="shared" ref="F114" si="8">IFERROR(((E114*100)/D114),0)</f>
        <v>0</v>
      </c>
      <c r="G114" s="60">
        <f>'Resumo dos cursos'!R120</f>
        <v>0</v>
      </c>
      <c r="H114" s="60">
        <f>'Resumo dos cursos'!S120</f>
        <v>0</v>
      </c>
      <c r="I114" s="60">
        <f>'Resumo dos cursos'!T120</f>
        <v>0</v>
      </c>
      <c r="J114" s="91">
        <f>'Resumo dos cursos'!U120</f>
        <v>0</v>
      </c>
    </row>
    <row r="115" spans="1:10" ht="25.5" x14ac:dyDescent="0.25">
      <c r="A115" s="90" t="str">
        <f>IF('Controle adm. dos cursos'!H116=2025,'Controle adm. dos cursos'!D116," ")</f>
        <v>Atendimento de Emergências em Edificações</v>
      </c>
      <c r="B115" s="125" t="str">
        <f>'Controle adm. dos cursos'!G116</f>
        <v>UEM</v>
      </c>
      <c r="C115" s="60">
        <f>'Resumo dos cursos'!N120</f>
        <v>0</v>
      </c>
      <c r="D115" s="60">
        <f>'Resumo dos cursos'!O120</f>
        <v>0</v>
      </c>
      <c r="E115" s="60">
        <f>'Resumo dos cursos'!P120</f>
        <v>0</v>
      </c>
      <c r="F115" s="57">
        <f t="shared" si="7"/>
        <v>0</v>
      </c>
      <c r="G115" s="60">
        <f>'Resumo dos cursos'!R120</f>
        <v>0</v>
      </c>
      <c r="H115" s="60">
        <f>'Resumo dos cursos'!S120</f>
        <v>0</v>
      </c>
      <c r="I115" s="60">
        <f>'Resumo dos cursos'!T120</f>
        <v>0</v>
      </c>
      <c r="J115" s="91">
        <f>'Resumo dos cursos'!U120</f>
        <v>0</v>
      </c>
    </row>
    <row r="116" spans="1:10" ht="25.5" x14ac:dyDescent="0.25">
      <c r="A116" s="90" t="str">
        <f>IF('Controle adm. dos cursos'!H117=2025,'Controle adm. dos cursos'!D117," ")</f>
        <v>Formação de Brigadistas Escolares Municipais</v>
      </c>
      <c r="B116" s="125" t="str">
        <f>'Controle adm. dos cursos'!G117</f>
        <v>I 2025</v>
      </c>
      <c r="C116" s="60">
        <f>'Resumo dos cursos'!N121</f>
        <v>0</v>
      </c>
      <c r="D116" s="60">
        <f>'Resumo dos cursos'!O121</f>
        <v>0</v>
      </c>
      <c r="E116" s="60">
        <f>'Resumo dos cursos'!P121</f>
        <v>0</v>
      </c>
      <c r="F116" s="57">
        <f t="shared" si="7"/>
        <v>0</v>
      </c>
      <c r="G116" s="60">
        <f>'Resumo dos cursos'!R121</f>
        <v>0</v>
      </c>
      <c r="H116" s="60">
        <f>'Resumo dos cursos'!S121</f>
        <v>0</v>
      </c>
      <c r="I116" s="60">
        <f>'Resumo dos cursos'!T121</f>
        <v>0</v>
      </c>
      <c r="J116" s="91">
        <f>'Resumo dos cursos'!U121</f>
        <v>0</v>
      </c>
    </row>
    <row r="117" spans="1:10" x14ac:dyDescent="0.25">
      <c r="A117" s="90" t="str">
        <f>IF('Controle adm. dos cursos'!H118=2025,'Controle adm. dos cursos'!D118," ")</f>
        <v xml:space="preserve"> </v>
      </c>
      <c r="B117" s="125">
        <f>'Controle adm. dos cursos'!G118</f>
        <v>0</v>
      </c>
      <c r="C117" s="60">
        <f>'Resumo dos cursos'!N122</f>
        <v>0</v>
      </c>
      <c r="D117" s="60">
        <f>'Resumo dos cursos'!O122</f>
        <v>0</v>
      </c>
      <c r="E117" s="60">
        <f>'Resumo dos cursos'!P122</f>
        <v>0</v>
      </c>
      <c r="F117" s="57">
        <f t="shared" si="7"/>
        <v>0</v>
      </c>
      <c r="G117" s="60">
        <f>'Resumo dos cursos'!R122</f>
        <v>0</v>
      </c>
      <c r="H117" s="60">
        <f>'Resumo dos cursos'!S122</f>
        <v>0</v>
      </c>
      <c r="I117" s="60">
        <f>'Resumo dos cursos'!T122</f>
        <v>0</v>
      </c>
      <c r="J117" s="91">
        <f>'Resumo dos cursos'!U122</f>
        <v>0</v>
      </c>
    </row>
    <row r="118" spans="1:10" x14ac:dyDescent="0.25">
      <c r="A118" s="90" t="str">
        <f>IF('Controle adm. dos cursos'!H119=2025,'Controle adm. dos cursos'!D119," ")</f>
        <v xml:space="preserve"> </v>
      </c>
      <c r="B118" s="125">
        <f>'Controle adm. dos cursos'!G119</f>
        <v>0</v>
      </c>
      <c r="C118" s="60">
        <f>'Resumo dos cursos'!N123</f>
        <v>0</v>
      </c>
      <c r="D118" s="60">
        <f>'Resumo dos cursos'!O123</f>
        <v>0</v>
      </c>
      <c r="E118" s="60">
        <f>'Resumo dos cursos'!P123</f>
        <v>0</v>
      </c>
      <c r="F118" s="57">
        <f t="shared" si="7"/>
        <v>0</v>
      </c>
      <c r="G118" s="60">
        <f>'Resumo dos cursos'!R123</f>
        <v>0</v>
      </c>
      <c r="H118" s="60">
        <f>'Resumo dos cursos'!S123</f>
        <v>0</v>
      </c>
      <c r="I118" s="60">
        <f>'Resumo dos cursos'!T123</f>
        <v>0</v>
      </c>
      <c r="J118" s="91">
        <f>'Resumo dos cursos'!U123</f>
        <v>0</v>
      </c>
    </row>
    <row r="119" spans="1:10" x14ac:dyDescent="0.25">
      <c r="B119" s="41"/>
    </row>
    <row r="120" spans="1:10" x14ac:dyDescent="0.25">
      <c r="B120" s="41"/>
    </row>
    <row r="121" spans="1:10" x14ac:dyDescent="0.25">
      <c r="B121" s="41"/>
    </row>
    <row r="122" spans="1:10" x14ac:dyDescent="0.25">
      <c r="B122" s="41"/>
    </row>
    <row r="123" spans="1:10" x14ac:dyDescent="0.25">
      <c r="B123" s="41"/>
    </row>
    <row r="124" spans="1:10" x14ac:dyDescent="0.25">
      <c r="B124" s="41"/>
    </row>
    <row r="125" spans="1:10" x14ac:dyDescent="0.25">
      <c r="B125" s="41"/>
    </row>
    <row r="126" spans="1:10" x14ac:dyDescent="0.25">
      <c r="B126" s="41"/>
    </row>
    <row r="127" spans="1:10" x14ac:dyDescent="0.25">
      <c r="B127" s="41"/>
    </row>
    <row r="128" spans="1:10" x14ac:dyDescent="0.25">
      <c r="B128" s="41"/>
    </row>
    <row r="129" spans="2:2" x14ac:dyDescent="0.25">
      <c r="B129" s="41"/>
    </row>
    <row r="130" spans="2:2" x14ac:dyDescent="0.25">
      <c r="B130" s="41"/>
    </row>
    <row r="131" spans="2:2" x14ac:dyDescent="0.25">
      <c r="B131" s="41"/>
    </row>
  </sheetData>
  <mergeCells count="2">
    <mergeCell ref="A1:J1"/>
    <mergeCell ref="C2:J2"/>
  </mergeCells>
  <conditionalFormatting sqref="F35:F63 F65:F99 F101">
    <cfRule type="cellIs" dxfId="13" priority="12" operator="equal">
      <formula>0</formula>
    </cfRule>
    <cfRule type="cellIs" dxfId="12" priority="13" operator="equal">
      <formula>0</formula>
    </cfRule>
  </conditionalFormatting>
  <conditionalFormatting sqref="F5:F34">
    <cfRule type="cellIs" dxfId="11" priority="14" operator="equal">
      <formula>0</formula>
    </cfRule>
    <cfRule type="cellIs" dxfId="10" priority="15" operator="equal">
      <formula>0</formula>
    </cfRule>
  </conditionalFormatting>
  <conditionalFormatting sqref="F100">
    <cfRule type="cellIs" dxfId="9" priority="9" operator="equal">
      <formula>0</formula>
    </cfRule>
    <cfRule type="cellIs" dxfId="8" priority="10" operator="equal">
      <formula>0</formula>
    </cfRule>
  </conditionalFormatting>
  <conditionalFormatting sqref="F102:F104">
    <cfRule type="cellIs" dxfId="7" priority="7" operator="equal">
      <formula>0</formula>
    </cfRule>
    <cfRule type="cellIs" dxfId="6" priority="8" operator="equal">
      <formula>0</formula>
    </cfRule>
  </conditionalFormatting>
  <conditionalFormatting sqref="F105 F107 F109:F118">
    <cfRule type="cellIs" dxfId="5" priority="5" operator="equal">
      <formula>0</formula>
    </cfRule>
    <cfRule type="cellIs" dxfId="4" priority="6" operator="equal">
      <formula>0</formula>
    </cfRule>
  </conditionalFormatting>
  <conditionalFormatting sqref="F106">
    <cfRule type="cellIs" dxfId="3" priority="3" operator="equal">
      <formula>0</formula>
    </cfRule>
    <cfRule type="cellIs" dxfId="2" priority="4" operator="equal">
      <formula>0</formula>
    </cfRule>
  </conditionalFormatting>
  <conditionalFormatting sqref="F108">
    <cfRule type="cellIs" dxfId="1" priority="1" operator="equal">
      <formula>0</formula>
    </cfRule>
    <cfRule type="cellIs" dxfId="0" priority="2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  <ignoredErrors>
    <ignoredError sqref="F4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4" zoomScale="190" zoomScaleNormal="190" workbookViewId="0">
      <selection activeCell="C12" sqref="C12"/>
    </sheetView>
  </sheetViews>
  <sheetFormatPr defaultColWidth="9.140625" defaultRowHeight="14.25" x14ac:dyDescent="0.25"/>
  <cols>
    <col min="1" max="1" width="5.28515625" style="123" customWidth="1"/>
    <col min="2" max="2" width="8.140625" style="44" customWidth="1"/>
    <col min="3" max="3" width="72.42578125" style="15" customWidth="1"/>
    <col min="4" max="16384" width="9.140625" style="15"/>
  </cols>
  <sheetData>
    <row r="1" spans="1:3" ht="53.25" customHeight="1" thickBot="1" x14ac:dyDescent="0.3">
      <c r="B1" s="166" t="s">
        <v>261</v>
      </c>
      <c r="C1" s="167"/>
    </row>
    <row r="2" spans="1:3" ht="14.25" customHeight="1" x14ac:dyDescent="0.25">
      <c r="A2" s="123">
        <v>1</v>
      </c>
      <c r="B2" s="135" t="s">
        <v>53</v>
      </c>
      <c r="C2" s="131" t="s">
        <v>54</v>
      </c>
    </row>
    <row r="3" spans="1:3" ht="14.25" customHeight="1" x14ac:dyDescent="0.25">
      <c r="A3" s="123">
        <v>2</v>
      </c>
      <c r="B3" s="124" t="s">
        <v>42</v>
      </c>
      <c r="C3" s="132" t="s">
        <v>43</v>
      </c>
    </row>
    <row r="4" spans="1:3" ht="24" x14ac:dyDescent="0.25">
      <c r="A4" s="123">
        <v>3</v>
      </c>
      <c r="B4" s="124" t="s">
        <v>21</v>
      </c>
      <c r="C4" s="132" t="s">
        <v>22</v>
      </c>
    </row>
    <row r="5" spans="1:3" ht="15" customHeight="1" x14ac:dyDescent="0.25">
      <c r="A5" s="123">
        <v>4</v>
      </c>
      <c r="B5" s="124" t="s">
        <v>58</v>
      </c>
      <c r="C5" s="132" t="s">
        <v>59</v>
      </c>
    </row>
    <row r="6" spans="1:3" ht="15" customHeight="1" x14ac:dyDescent="0.25">
      <c r="A6" s="123">
        <v>5</v>
      </c>
      <c r="B6" s="124" t="s">
        <v>29</v>
      </c>
      <c r="C6" s="132" t="s">
        <v>30</v>
      </c>
    </row>
    <row r="7" spans="1:3" ht="15" customHeight="1" x14ac:dyDescent="0.25">
      <c r="A7" s="123">
        <v>6</v>
      </c>
      <c r="B7" s="124" t="s">
        <v>65</v>
      </c>
      <c r="C7" s="132" t="s">
        <v>66</v>
      </c>
    </row>
    <row r="8" spans="1:3" ht="15" customHeight="1" x14ac:dyDescent="0.25">
      <c r="A8" s="123">
        <v>7</v>
      </c>
      <c r="B8" s="124" t="s">
        <v>76</v>
      </c>
      <c r="C8" s="132" t="s">
        <v>77</v>
      </c>
    </row>
    <row r="9" spans="1:3" ht="15" customHeight="1" x14ac:dyDescent="0.25">
      <c r="A9" s="123">
        <v>8</v>
      </c>
      <c r="B9" s="124" t="s">
        <v>82</v>
      </c>
      <c r="C9" s="132" t="s">
        <v>274</v>
      </c>
    </row>
    <row r="10" spans="1:3" ht="15" customHeight="1" x14ac:dyDescent="0.25">
      <c r="A10" s="123">
        <v>9</v>
      </c>
      <c r="B10" s="124" t="s">
        <v>122</v>
      </c>
      <c r="C10" s="132" t="s">
        <v>123</v>
      </c>
    </row>
    <row r="11" spans="1:3" ht="15" customHeight="1" x14ac:dyDescent="0.25">
      <c r="A11" s="123">
        <v>10</v>
      </c>
      <c r="B11" s="124" t="s">
        <v>118</v>
      </c>
      <c r="C11" s="132" t="s">
        <v>119</v>
      </c>
    </row>
    <row r="12" spans="1:3" ht="15" customHeight="1" x14ac:dyDescent="0.25">
      <c r="A12" s="123">
        <v>11</v>
      </c>
      <c r="B12" s="124" t="s">
        <v>129</v>
      </c>
      <c r="C12" s="132" t="s">
        <v>275</v>
      </c>
    </row>
    <row r="13" spans="1:3" ht="15" customHeight="1" x14ac:dyDescent="0.25">
      <c r="A13" s="123">
        <v>12</v>
      </c>
      <c r="B13" s="124" t="s">
        <v>112</v>
      </c>
      <c r="C13" s="132" t="s">
        <v>113</v>
      </c>
    </row>
    <row r="14" spans="1:3" ht="15" customHeight="1" x14ac:dyDescent="0.25">
      <c r="A14" s="123">
        <v>13</v>
      </c>
      <c r="B14" s="124" t="s">
        <v>158</v>
      </c>
      <c r="C14" s="132" t="s">
        <v>263</v>
      </c>
    </row>
    <row r="15" spans="1:3" ht="15" customHeight="1" x14ac:dyDescent="0.25">
      <c r="A15" s="123">
        <v>14</v>
      </c>
      <c r="B15" s="124" t="s">
        <v>188</v>
      </c>
      <c r="C15" s="132" t="s">
        <v>189</v>
      </c>
    </row>
    <row r="16" spans="1:3" ht="15" customHeight="1" x14ac:dyDescent="0.25">
      <c r="A16" s="123">
        <v>15</v>
      </c>
      <c r="B16" s="124" t="s">
        <v>179</v>
      </c>
      <c r="C16" s="132" t="s">
        <v>264</v>
      </c>
    </row>
    <row r="17" spans="1:3" ht="15" customHeight="1" x14ac:dyDescent="0.25">
      <c r="A17" s="123">
        <v>16</v>
      </c>
      <c r="B17" s="124" t="s">
        <v>193</v>
      </c>
      <c r="C17" s="132" t="s">
        <v>265</v>
      </c>
    </row>
    <row r="18" spans="1:3" ht="15" customHeight="1" x14ac:dyDescent="0.25">
      <c r="A18" s="123">
        <v>17</v>
      </c>
      <c r="B18" s="124" t="s">
        <v>216</v>
      </c>
      <c r="C18" s="132" t="s">
        <v>217</v>
      </c>
    </row>
    <row r="19" spans="1:3" ht="15" customHeight="1" x14ac:dyDescent="0.25">
      <c r="A19" s="123">
        <v>18</v>
      </c>
      <c r="B19" s="124"/>
      <c r="C19" s="133"/>
    </row>
    <row r="20" spans="1:3" ht="15.75" customHeight="1" thickBot="1" x14ac:dyDescent="0.3">
      <c r="A20" s="123">
        <v>19</v>
      </c>
      <c r="B20" s="111"/>
      <c r="C20" s="134"/>
    </row>
  </sheetData>
  <sheetProtection algorithmName="SHA-512" hashValue="XZ7fn5kcbGVf0IFrBADn5k6idtKbko5H4d4WpX8kb5rEOKK7sCPt4IYKoNJQXEztDMdvudu4oYe+cfvtJmbnNg==" saltValue="xIvxgFhFWpoFxXXF57Ljag==" spinCount="100000" sheet="1" objects="1" scenarios="1"/>
  <mergeCells count="1">
    <mergeCell ref="B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1"/>
  <sheetViews>
    <sheetView showGridLines="0" tabSelected="1" zoomScale="115" zoomScaleNormal="115" workbookViewId="0">
      <pane xSplit="7" ySplit="2" topLeftCell="L111" activePane="bottomRight" state="frozen"/>
      <selection pane="topRight" activeCell="G1" sqref="G1"/>
      <selection pane="bottomLeft" activeCell="A3" sqref="A3"/>
      <selection pane="bottomRight" activeCell="C131" sqref="C131"/>
    </sheetView>
  </sheetViews>
  <sheetFormatPr defaultColWidth="65.7109375" defaultRowHeight="14.25" x14ac:dyDescent="0.25"/>
  <cols>
    <col min="1" max="1" width="11.5703125" style="14" customWidth="1"/>
    <col min="2" max="2" width="14.140625" style="15" bestFit="1" customWidth="1"/>
    <col min="3" max="3" width="59.140625" style="127" customWidth="1"/>
    <col min="4" max="4" width="18.7109375" style="15" customWidth="1"/>
    <col min="5" max="5" width="14.140625" style="15" bestFit="1" customWidth="1"/>
    <col min="6" max="6" width="18.28515625" style="41" customWidth="1"/>
    <col min="7" max="7" width="11.7109375" style="15" customWidth="1"/>
    <col min="8" max="8" width="16.28515625" style="16" customWidth="1"/>
    <col min="9" max="9" width="21.42578125" style="16" customWidth="1"/>
    <col min="10" max="10" width="15.28515625" style="17" customWidth="1"/>
    <col min="11" max="11" width="21.42578125" style="15" customWidth="1"/>
    <col min="12" max="12" width="27.7109375" style="15" customWidth="1"/>
    <col min="13" max="13" width="18.42578125" style="15" bestFit="1" customWidth="1"/>
    <col min="14" max="16" width="18.7109375" style="18" customWidth="1"/>
    <col min="17" max="17" width="18.7109375" style="19" customWidth="1"/>
    <col min="18" max="21" width="18.7109375" style="15" customWidth="1"/>
    <col min="22" max="16384" width="65.7109375" style="15"/>
  </cols>
  <sheetData>
    <row r="1" spans="1:27" s="26" customFormat="1" ht="30" customHeight="1" x14ac:dyDescent="0.25">
      <c r="A1" s="20"/>
      <c r="B1" s="21"/>
      <c r="C1" s="126"/>
      <c r="D1" s="21"/>
      <c r="E1" s="21"/>
      <c r="F1" s="31"/>
      <c r="G1" s="21"/>
      <c r="H1" s="21"/>
      <c r="I1" s="21"/>
      <c r="J1" s="22"/>
      <c r="K1" s="21"/>
      <c r="L1" s="23"/>
      <c r="M1" s="23"/>
      <c r="N1" s="24">
        <f>SUM(Tabela3[Inscritos])</f>
        <v>34707</v>
      </c>
      <c r="O1" s="24">
        <f>SUM(Tabela3[Matriculados])</f>
        <v>34682</v>
      </c>
      <c r="P1" s="24">
        <f>SUM(Tabela3[Aprovados])</f>
        <v>26528</v>
      </c>
      <c r="Q1" s="25"/>
      <c r="R1" s="21">
        <f>SUM(Tabela3[Reprovados])</f>
        <v>1627</v>
      </c>
      <c r="S1" s="21">
        <f>SUM(Tabela3[Desistentes])</f>
        <v>1555</v>
      </c>
      <c r="T1" s="21">
        <f>SUM(Tabela3[Não responderam o 1º questionário])</f>
        <v>4254</v>
      </c>
      <c r="U1" s="21">
        <f>SUM(Tabela3[Nunca acessaram o curso])</f>
        <v>432</v>
      </c>
    </row>
    <row r="2" spans="1:27" s="26" customFormat="1" ht="30" customHeight="1" x14ac:dyDescent="0.25">
      <c r="A2" s="27" t="s">
        <v>5</v>
      </c>
      <c r="B2" s="27" t="s">
        <v>223</v>
      </c>
      <c r="C2" s="27" t="s">
        <v>7</v>
      </c>
      <c r="D2" s="27" t="s">
        <v>8</v>
      </c>
      <c r="E2" s="27" t="s">
        <v>321</v>
      </c>
      <c r="F2" s="27" t="s">
        <v>9</v>
      </c>
      <c r="G2" s="27" t="s">
        <v>10</v>
      </c>
      <c r="H2" s="27" t="s">
        <v>224</v>
      </c>
      <c r="I2" s="27" t="s">
        <v>225</v>
      </c>
      <c r="J2" s="28" t="s">
        <v>226</v>
      </c>
      <c r="K2" s="27" t="s">
        <v>227</v>
      </c>
      <c r="L2" s="27" t="s">
        <v>228</v>
      </c>
      <c r="M2" s="27" t="s">
        <v>282</v>
      </c>
      <c r="N2" s="29" t="s">
        <v>229</v>
      </c>
      <c r="O2" s="29" t="s">
        <v>230</v>
      </c>
      <c r="P2" s="29" t="s">
        <v>231</v>
      </c>
      <c r="Q2" s="30" t="s">
        <v>232</v>
      </c>
      <c r="R2" s="27" t="s">
        <v>233</v>
      </c>
      <c r="S2" s="27" t="s">
        <v>234</v>
      </c>
      <c r="T2" s="31" t="s">
        <v>235</v>
      </c>
      <c r="U2" s="31" t="s">
        <v>236</v>
      </c>
    </row>
    <row r="3" spans="1:27" ht="30" customHeight="1" x14ac:dyDescent="0.25">
      <c r="A3" s="10">
        <f>Tabela2[[#This Row],[Nº]]</f>
        <v>1</v>
      </c>
      <c r="B3" s="32" t="str">
        <f>Tabela2[[#This Row],[Abrev]]</f>
        <v>Fundamental</v>
      </c>
      <c r="C3" s="11" t="str">
        <f>'Controle adm. dos cursos'!D3</f>
        <v>Conhecimentos Fundamentais em Proteção e Defesa Civil</v>
      </c>
      <c r="D3" s="34" t="str">
        <f>Tabela2[[#This Row],[Nome curto]]</f>
        <v>fundamentaldpdc</v>
      </c>
      <c r="E3" s="43">
        <f>Tabela2[[#This Row],[Nº curso]]</f>
        <v>58</v>
      </c>
      <c r="F3" s="12" t="str">
        <f>'Controle adm. dos cursos'!G3</f>
        <v>Turma DPDC</v>
      </c>
      <c r="G3" s="34">
        <f>'Controle adm. dos cursos'!H3</f>
        <v>2019</v>
      </c>
      <c r="H3" s="35">
        <v>43479</v>
      </c>
      <c r="I3" s="35">
        <v>43499</v>
      </c>
      <c r="J3" s="36">
        <v>15</v>
      </c>
      <c r="K3" s="12" t="s">
        <v>237</v>
      </c>
      <c r="L3" s="37" t="s">
        <v>238</v>
      </c>
      <c r="M3" s="37"/>
      <c r="N3" s="38">
        <v>42</v>
      </c>
      <c r="O3" s="38">
        <v>17</v>
      </c>
      <c r="P3" s="38">
        <v>16</v>
      </c>
      <c r="Q3" s="39">
        <f>IFERROR((Tabela3[[#This Row],[Aprovados]]*100)/Tabela3[[#This Row],[Matriculados]],0)</f>
        <v>94.117647058823536</v>
      </c>
      <c r="R3" s="40">
        <v>1</v>
      </c>
      <c r="S3" s="40">
        <v>0</v>
      </c>
      <c r="T3" s="40">
        <v>0</v>
      </c>
      <c r="U3" s="40">
        <v>0</v>
      </c>
      <c r="AA3" s="41" t="s">
        <v>239</v>
      </c>
    </row>
    <row r="4" spans="1:27" ht="30" customHeight="1" x14ac:dyDescent="0.25">
      <c r="A4" s="43">
        <f>Tabela2[[#This Row],[Nº]]</f>
        <v>2</v>
      </c>
      <c r="B4" s="32" t="str">
        <f>Tabela2[[#This Row],[Abrev]]</f>
        <v>REER</v>
      </c>
      <c r="C4" s="11" t="str">
        <f>'Controle adm. dos cursos'!D4</f>
        <v>Conhecimentos Básicos para Integrantes da Rede Estadual de Emergência de Radioamadores</v>
      </c>
      <c r="D4" s="43" t="str">
        <f>Tabela2[[#This Row],[Nome curto]]</f>
        <v>reer2019</v>
      </c>
      <c r="E4" s="43">
        <f>Tabela2[[#This Row],[Nº curso]]</f>
        <v>61</v>
      </c>
      <c r="F4" s="12" t="str">
        <f>'Controle adm. dos cursos'!G4</f>
        <v>Turma 2019</v>
      </c>
      <c r="G4" s="43">
        <f>'Controle adm. dos cursos'!H4</f>
        <v>2019</v>
      </c>
      <c r="H4" s="35">
        <v>43563</v>
      </c>
      <c r="I4" s="35">
        <v>43583</v>
      </c>
      <c r="J4" s="36">
        <v>15</v>
      </c>
      <c r="K4" s="12" t="s">
        <v>237</v>
      </c>
      <c r="L4" s="37" t="s">
        <v>238</v>
      </c>
      <c r="M4" s="37" t="s">
        <v>329</v>
      </c>
      <c r="N4" s="38">
        <v>137</v>
      </c>
      <c r="O4" s="38">
        <v>137</v>
      </c>
      <c r="P4" s="38">
        <v>99</v>
      </c>
      <c r="Q4" s="39">
        <f>IFERROR((Tabela3[[#This Row],[Aprovados]]*100)/Tabela3[[#This Row],[Matriculados]],0)</f>
        <v>72.262773722627742</v>
      </c>
      <c r="R4" s="40">
        <v>10</v>
      </c>
      <c r="S4" s="40">
        <v>1</v>
      </c>
      <c r="T4" s="40">
        <v>1</v>
      </c>
      <c r="U4" s="40">
        <v>26</v>
      </c>
      <c r="AA4" s="41" t="s">
        <v>240</v>
      </c>
    </row>
    <row r="5" spans="1:27" ht="30" customHeight="1" x14ac:dyDescent="0.25">
      <c r="A5" s="43">
        <f>Tabela2[[#This Row],[Nº]]</f>
        <v>3</v>
      </c>
      <c r="B5" s="32" t="str">
        <f>Tabela2[[#This Row],[Abrev]]</f>
        <v>SCI</v>
      </c>
      <c r="C5" s="11" t="str">
        <f>'Controle adm. dos cursos'!D5</f>
        <v>Sistema de Comando de Incidentes</v>
      </c>
      <c r="D5" s="43" t="str">
        <f>Tabela2[[#This Row],[Nome curto]]</f>
        <v>sci2019</v>
      </c>
      <c r="E5" s="43">
        <f>Tabela2[[#This Row],[Nº curso]]</f>
        <v>63</v>
      </c>
      <c r="F5" s="12" t="str">
        <f>'Controle adm. dos cursos'!G5</f>
        <v>Turma I</v>
      </c>
      <c r="G5" s="43">
        <f>'Controle adm. dos cursos'!H5</f>
        <v>2019</v>
      </c>
      <c r="H5" s="35">
        <v>43577</v>
      </c>
      <c r="I5" s="35">
        <v>43611</v>
      </c>
      <c r="J5" s="36">
        <v>20</v>
      </c>
      <c r="K5" s="12" t="s">
        <v>237</v>
      </c>
      <c r="L5" s="37" t="s">
        <v>238</v>
      </c>
      <c r="M5" s="37" t="s">
        <v>329</v>
      </c>
      <c r="N5" s="38">
        <v>22</v>
      </c>
      <c r="O5" s="38">
        <v>22</v>
      </c>
      <c r="P5" s="38">
        <v>9</v>
      </c>
      <c r="Q5" s="39">
        <f>IFERROR((Tabela3[[#This Row],[Aprovados]]*100)/Tabela3[[#This Row],[Matriculados]],0)</f>
        <v>40.909090909090907</v>
      </c>
      <c r="R5" s="40">
        <v>2</v>
      </c>
      <c r="S5" s="40">
        <v>6</v>
      </c>
      <c r="T5" s="40">
        <v>3</v>
      </c>
      <c r="U5" s="40">
        <v>2</v>
      </c>
    </row>
    <row r="6" spans="1:27" ht="30" customHeight="1" x14ac:dyDescent="0.25">
      <c r="A6" s="43">
        <f>Tabela2[[#This Row],[Nº]]</f>
        <v>4</v>
      </c>
      <c r="B6" s="32" t="str">
        <f>Tabela2[[#This Row],[Abrev]]</f>
        <v>SCI</v>
      </c>
      <c r="C6" s="11" t="str">
        <f>'Controle adm. dos cursos'!D6</f>
        <v>Sistema de Comando de Incidentes</v>
      </c>
      <c r="D6" s="43" t="str">
        <f>Tabela2[[#This Row],[Nome curto]]</f>
        <v>SCI ADAPAR 2019</v>
      </c>
      <c r="E6" s="43">
        <f>Tabela2[[#This Row],[Nº curso]]</f>
        <v>64</v>
      </c>
      <c r="F6" s="12" t="str">
        <f>'Controle adm. dos cursos'!G6</f>
        <v>Turma ADAPAR</v>
      </c>
      <c r="G6" s="43">
        <f>'Controle adm. dos cursos'!H6</f>
        <v>2019</v>
      </c>
      <c r="H6" s="35">
        <v>43617</v>
      </c>
      <c r="I6" s="35">
        <v>43637</v>
      </c>
      <c r="J6" s="36">
        <v>20</v>
      </c>
      <c r="K6" s="12" t="s">
        <v>237</v>
      </c>
      <c r="L6" s="37" t="s">
        <v>238</v>
      </c>
      <c r="M6" s="37" t="s">
        <v>329</v>
      </c>
      <c r="N6" s="38">
        <v>27</v>
      </c>
      <c r="O6" s="38">
        <v>27</v>
      </c>
      <c r="P6" s="38">
        <v>25</v>
      </c>
      <c r="Q6" s="39">
        <f>IFERROR((Tabela3[[#This Row],[Aprovados]]*100)/Tabela3[[#This Row],[Matriculados]],0)</f>
        <v>92.592592592592595</v>
      </c>
      <c r="R6" s="40">
        <v>0</v>
      </c>
      <c r="S6" s="40">
        <v>0</v>
      </c>
      <c r="T6" s="40">
        <v>0</v>
      </c>
      <c r="U6" s="40">
        <v>2</v>
      </c>
    </row>
    <row r="7" spans="1:27" ht="30" customHeight="1" x14ac:dyDescent="0.25">
      <c r="A7" s="43">
        <f>Tabela2[[#This Row],[Nº]]</f>
        <v>5</v>
      </c>
      <c r="B7" s="32" t="str">
        <f>Tabela2[[#This Row],[Abrev]]</f>
        <v>SCI</v>
      </c>
      <c r="C7" s="11" t="str">
        <f>'Controle adm. dos cursos'!D7</f>
        <v>Sistema de Comando de Incidentes</v>
      </c>
      <c r="D7" s="43" t="str">
        <f>Tabela2[[#This Row],[Nome curto]]</f>
        <v>SCI2ADAPAR2019</v>
      </c>
      <c r="E7" s="43">
        <f>Tabela2[[#This Row],[Nº curso]]</f>
        <v>69</v>
      </c>
      <c r="F7" s="12" t="str">
        <f>'Controle adm. dos cursos'!G7</f>
        <v>Turma II ADAPAR</v>
      </c>
      <c r="G7" s="43">
        <f>'Controle adm. dos cursos'!H7</f>
        <v>2019</v>
      </c>
      <c r="H7" s="35">
        <v>43682</v>
      </c>
      <c r="I7" s="35">
        <v>43716</v>
      </c>
      <c r="J7" s="36">
        <v>20</v>
      </c>
      <c r="K7" s="12" t="s">
        <v>237</v>
      </c>
      <c r="L7" s="37" t="s">
        <v>238</v>
      </c>
      <c r="M7" s="37" t="s">
        <v>329</v>
      </c>
      <c r="N7" s="38">
        <v>98</v>
      </c>
      <c r="O7" s="38">
        <v>98</v>
      </c>
      <c r="P7" s="38">
        <v>57</v>
      </c>
      <c r="Q7" s="39">
        <f>IFERROR((Tabela3[[#This Row],[Aprovados]]*100)/Tabela3[[#This Row],[Matriculados]],0)</f>
        <v>58.163265306122447</v>
      </c>
      <c r="R7" s="40">
        <v>1</v>
      </c>
      <c r="S7" s="40">
        <v>5</v>
      </c>
      <c r="T7" s="40">
        <v>14</v>
      </c>
      <c r="U7" s="40">
        <v>21</v>
      </c>
    </row>
    <row r="8" spans="1:27" ht="30" customHeight="1" x14ac:dyDescent="0.25">
      <c r="A8" s="43">
        <f>Tabela2[[#This Row],[Nº]]</f>
        <v>6</v>
      </c>
      <c r="B8" s="32" t="str">
        <f>Tabela2[[#This Row],[Abrev]]</f>
        <v>EE</v>
      </c>
      <c r="C8" s="11" t="str">
        <f>'Controle adm. dos cursos'!D8</f>
        <v>Atendimento de Emergências em Edificações</v>
      </c>
      <c r="D8" s="43" t="str">
        <f>Tabela2[[#This Row],[Nome curto]]</f>
        <v>emergenciascelepar</v>
      </c>
      <c r="E8" s="43">
        <f>Tabela2[[#This Row],[Nº curso]]</f>
        <v>67</v>
      </c>
      <c r="F8" s="12" t="str">
        <f>'Controle adm. dos cursos'!G8</f>
        <v>Turma CELEPAR</v>
      </c>
      <c r="G8" s="43">
        <f>'Controle adm. dos cursos'!H8</f>
        <v>2019</v>
      </c>
      <c r="H8" s="35">
        <v>43766</v>
      </c>
      <c r="I8" s="35">
        <v>43794</v>
      </c>
      <c r="J8" s="36">
        <v>40</v>
      </c>
      <c r="K8" s="12" t="s">
        <v>237</v>
      </c>
      <c r="L8" s="37" t="s">
        <v>241</v>
      </c>
      <c r="M8" s="37" t="s">
        <v>329</v>
      </c>
      <c r="N8" s="38">
        <v>97</v>
      </c>
      <c r="O8" s="38">
        <v>97</v>
      </c>
      <c r="P8" s="38">
        <v>72</v>
      </c>
      <c r="Q8" s="39">
        <f>IFERROR((Tabela3[[#This Row],[Aprovados]]*100)/Tabela3[[#This Row],[Matriculados]],0)</f>
        <v>74.226804123711347</v>
      </c>
      <c r="R8" s="40">
        <v>8</v>
      </c>
      <c r="S8" s="40">
        <v>2</v>
      </c>
      <c r="T8" s="40">
        <v>4</v>
      </c>
      <c r="U8" s="40">
        <v>11</v>
      </c>
    </row>
    <row r="9" spans="1:27" ht="30" customHeight="1" x14ac:dyDescent="0.25">
      <c r="A9" s="43">
        <f>Tabela2[[#This Row],[Nº]]</f>
        <v>7</v>
      </c>
      <c r="B9" s="32" t="str">
        <f>Tabela2[[#This Row],[Abrev]]</f>
        <v>EE</v>
      </c>
      <c r="C9" s="11" t="str">
        <f>'Controle adm. dos cursos'!D9</f>
        <v>Atendimento de Emergências em Edificações</v>
      </c>
      <c r="D9" s="43" t="str">
        <f>Tabela2[[#This Row],[Nome curto]]</f>
        <v>emergenciasuem2019</v>
      </c>
      <c r="E9" s="43">
        <f>Tabela2[[#This Row],[Nº curso]]</f>
        <v>125</v>
      </c>
      <c r="F9" s="12" t="str">
        <f>'Controle adm. dos cursos'!G9</f>
        <v>Turma UEM</v>
      </c>
      <c r="G9" s="43">
        <f>'Controle adm. dos cursos'!H9</f>
        <v>2019</v>
      </c>
      <c r="H9" s="35">
        <v>43780</v>
      </c>
      <c r="I9" s="35">
        <v>43800</v>
      </c>
      <c r="J9" s="36">
        <v>40</v>
      </c>
      <c r="K9" s="12" t="s">
        <v>237</v>
      </c>
      <c r="L9" s="37" t="s">
        <v>241</v>
      </c>
      <c r="M9" s="37" t="s">
        <v>329</v>
      </c>
      <c r="N9" s="38">
        <v>277</v>
      </c>
      <c r="O9" s="38">
        <v>277</v>
      </c>
      <c r="P9" s="38">
        <v>190</v>
      </c>
      <c r="Q9" s="39">
        <f>IFERROR((Tabela3[[#This Row],[Aprovados]]*100)/Tabela3[[#This Row],[Matriculados]],0)</f>
        <v>68.592057761732846</v>
      </c>
      <c r="R9" s="40">
        <v>7</v>
      </c>
      <c r="S9" s="40">
        <v>8</v>
      </c>
      <c r="T9" s="40">
        <v>11</v>
      </c>
      <c r="U9" s="40">
        <v>61</v>
      </c>
    </row>
    <row r="10" spans="1:27" ht="30" customHeight="1" x14ac:dyDescent="0.25">
      <c r="A10" s="43">
        <f>Tabela2[[#This Row],[Nº]]</f>
        <v>8</v>
      </c>
      <c r="B10" s="32" t="str">
        <f>Tabela2[[#This Row],[Abrev]]</f>
        <v>SCI</v>
      </c>
      <c r="C10" s="11" t="str">
        <f>'Controle adm. dos cursos'!D10</f>
        <v>Sistema de Comando de Incidentes</v>
      </c>
      <c r="D10" s="43" t="str">
        <f>Tabela2[[#This Row],[Nome curto]]</f>
        <v>sciapa</v>
      </c>
      <c r="E10" s="43">
        <f>Tabela2[[#This Row],[Nº curso]]</f>
        <v>126</v>
      </c>
      <c r="F10" s="12" t="str">
        <f>'Controle adm. dos cursos'!G10</f>
        <v>Turma APA 2020</v>
      </c>
      <c r="G10" s="43">
        <f>'Controle adm. dos cursos'!H10</f>
        <v>2020</v>
      </c>
      <c r="H10" s="35">
        <v>43948</v>
      </c>
      <c r="I10" s="35">
        <v>43987</v>
      </c>
      <c r="J10" s="36">
        <v>20</v>
      </c>
      <c r="K10" s="12" t="s">
        <v>237</v>
      </c>
      <c r="L10" s="37" t="s">
        <v>238</v>
      </c>
      <c r="M10" s="37" t="s">
        <v>317</v>
      </c>
      <c r="N10" s="38">
        <v>60</v>
      </c>
      <c r="O10" s="38">
        <v>60</v>
      </c>
      <c r="P10" s="38">
        <v>29</v>
      </c>
      <c r="Q10" s="39">
        <f>IFERROR((Tabela3[[#This Row],[Aprovados]]*100)/Tabela3[[#This Row],[Matriculados]],0)</f>
        <v>48.333333333333336</v>
      </c>
      <c r="R10" s="40">
        <v>1</v>
      </c>
      <c r="S10" s="40">
        <v>0</v>
      </c>
      <c r="T10" s="40">
        <v>2</v>
      </c>
      <c r="U10" s="40">
        <v>28</v>
      </c>
    </row>
    <row r="11" spans="1:27" ht="30" customHeight="1" x14ac:dyDescent="0.25">
      <c r="A11" s="43">
        <f>Tabela2[[#This Row],[Nº]]</f>
        <v>9</v>
      </c>
      <c r="B11" s="32" t="str">
        <f>Tabela2[[#This Row],[Abrev]]</f>
        <v>PDC</v>
      </c>
      <c r="C11" s="11" t="str">
        <f>'Controle adm. dos cursos'!D11</f>
        <v>Conhecimentos em Proteção e Defesa Civil</v>
      </c>
      <c r="D11" s="43" t="str">
        <f>Tabela2[[#This Row],[Nome curto]]</f>
        <v>6CORPDEC</v>
      </c>
      <c r="E11" s="43">
        <f>Tabela2[[#This Row],[Nº curso]]</f>
        <v>133</v>
      </c>
      <c r="F11" s="12" t="str">
        <f>'Controle adm. dos cursos'!G11</f>
        <v>Turma 6ª CORPDEC</v>
      </c>
      <c r="G11" s="43">
        <f>'Controle adm. dos cursos'!H11</f>
        <v>2020</v>
      </c>
      <c r="H11" s="35">
        <v>44046</v>
      </c>
      <c r="I11" s="35">
        <v>44085</v>
      </c>
      <c r="J11" s="36">
        <v>15</v>
      </c>
      <c r="K11" s="12" t="s">
        <v>237</v>
      </c>
      <c r="L11" s="37" t="s">
        <v>238</v>
      </c>
      <c r="M11" s="37"/>
      <c r="N11" s="38">
        <v>74</v>
      </c>
      <c r="O11" s="38">
        <v>74</v>
      </c>
      <c r="P11" s="38">
        <v>61</v>
      </c>
      <c r="Q11" s="39">
        <f>IFERROR((Tabela3[[#This Row],[Aprovados]]*100)/Tabela3[[#This Row],[Matriculados]],0)</f>
        <v>82.432432432432435</v>
      </c>
      <c r="R11" s="40">
        <v>2</v>
      </c>
      <c r="S11" s="40">
        <v>0</v>
      </c>
      <c r="T11" s="40">
        <v>5</v>
      </c>
      <c r="U11" s="40">
        <v>6</v>
      </c>
    </row>
    <row r="12" spans="1:27" ht="30" customHeight="1" x14ac:dyDescent="0.25">
      <c r="A12" s="43">
        <f>Tabela2[[#This Row],[Nº]]</f>
        <v>10</v>
      </c>
      <c r="B12" s="32" t="str">
        <f>Tabela2[[#This Row],[Abrev]]</f>
        <v>RD</v>
      </c>
      <c r="C12" s="11" t="str">
        <f>'Controle adm. dos cursos'!D12</f>
        <v>RISCOS E DESASTRES: conhecimentos fundamentais</v>
      </c>
      <c r="D12" s="43" t="str">
        <f>Tabela2[[#This Row],[Nome curto]]</f>
        <v>RD</v>
      </c>
      <c r="E12" s="43">
        <f>Tabela2[[#This Row],[Nº curso]]</f>
        <v>130</v>
      </c>
      <c r="F12" s="12" t="str">
        <f>'Controle adm. dos cursos'!G12</f>
        <v>Turma I</v>
      </c>
      <c r="G12" s="43">
        <f>'Controle adm. dos cursos'!H12</f>
        <v>2020</v>
      </c>
      <c r="H12" s="35">
        <v>44095</v>
      </c>
      <c r="I12" s="35">
        <v>44127</v>
      </c>
      <c r="J12" s="36">
        <v>20</v>
      </c>
      <c r="K12" s="12" t="s">
        <v>237</v>
      </c>
      <c r="L12" s="37" t="s">
        <v>238</v>
      </c>
      <c r="M12" s="37" t="s">
        <v>317</v>
      </c>
      <c r="N12" s="38">
        <v>71</v>
      </c>
      <c r="O12" s="38">
        <v>71</v>
      </c>
      <c r="P12" s="38">
        <v>53</v>
      </c>
      <c r="Q12" s="39">
        <f>IFERROR((Tabela3[[#This Row],[Aprovados]]*100)/Tabela3[[#This Row],[Matriculados]],0)</f>
        <v>74.647887323943664</v>
      </c>
      <c r="R12" s="40">
        <v>3</v>
      </c>
      <c r="S12" s="40">
        <v>2</v>
      </c>
      <c r="T12" s="40">
        <v>5</v>
      </c>
      <c r="U12" s="40">
        <v>8</v>
      </c>
    </row>
    <row r="13" spans="1:27" ht="30" customHeight="1" x14ac:dyDescent="0.25">
      <c r="A13" s="43">
        <f>Tabela2[[#This Row],[Nº]]</f>
        <v>11</v>
      </c>
      <c r="B13" s="32" t="str">
        <f>Tabela2[[#This Row],[Abrev]]</f>
        <v>SCI</v>
      </c>
      <c r="C13" s="11" t="str">
        <f>'Controle adm. dos cursos'!D13</f>
        <v>Sistema de Comando de Incidentes</v>
      </c>
      <c r="D13" s="43" t="str">
        <f>Tabela2[[#This Row],[Nome curto]]</f>
        <v>scirs</v>
      </c>
      <c r="E13" s="43">
        <f>Tabela2[[#This Row],[Nº curso]]</f>
        <v>137</v>
      </c>
      <c r="F13" s="12" t="str">
        <f>'Controle adm. dos cursos'!G13</f>
        <v>Turma RS 2020</v>
      </c>
      <c r="G13" s="43">
        <f>'Controle adm. dos cursos'!H13</f>
        <v>2020</v>
      </c>
      <c r="H13" s="35">
        <v>44166</v>
      </c>
      <c r="I13" s="35">
        <v>44218</v>
      </c>
      <c r="J13" s="36">
        <v>20</v>
      </c>
      <c r="K13" s="12" t="s">
        <v>237</v>
      </c>
      <c r="L13" s="37" t="s">
        <v>238</v>
      </c>
      <c r="M13" s="37" t="s">
        <v>317</v>
      </c>
      <c r="N13" s="38">
        <v>127</v>
      </c>
      <c r="O13" s="38">
        <v>127</v>
      </c>
      <c r="P13" s="38">
        <v>96</v>
      </c>
      <c r="Q13" s="39">
        <f>IFERROR((Tabela3[[#This Row],[Aprovados]]*100)/Tabela3[[#This Row],[Matriculados]],0)</f>
        <v>75.590551181102356</v>
      </c>
      <c r="R13" s="40">
        <v>1</v>
      </c>
      <c r="S13" s="40">
        <v>7</v>
      </c>
      <c r="T13" s="40">
        <v>3</v>
      </c>
      <c r="U13" s="40">
        <v>20</v>
      </c>
    </row>
    <row r="14" spans="1:27" ht="30" customHeight="1" x14ac:dyDescent="0.25">
      <c r="A14" s="43">
        <f>Tabela2[[#This Row],[Nº]]</f>
        <v>12</v>
      </c>
      <c r="B14" s="32" t="str">
        <f>Tabela2[[#This Row],[Abrev]]</f>
        <v>REER</v>
      </c>
      <c r="C14" s="11" t="str">
        <f>'Controle adm. dos cursos'!D14</f>
        <v>Conhecimentos Básicos para Integrantes da Rede Estadual de Emergência de Radioamadores</v>
      </c>
      <c r="D14" s="43" t="str">
        <f>Tabela2[[#This Row],[Nome curto]]</f>
        <v>REER2021turma1</v>
      </c>
      <c r="E14" s="43">
        <f>Tabela2[[#This Row],[Nº curso]]</f>
        <v>144</v>
      </c>
      <c r="F14" s="12" t="str">
        <f>'Controle adm. dos cursos'!G14</f>
        <v>Turma 2021</v>
      </c>
      <c r="G14" s="43">
        <f>'Controle adm. dos cursos'!H14</f>
        <v>2021</v>
      </c>
      <c r="H14" s="35">
        <v>44319</v>
      </c>
      <c r="I14" s="35">
        <v>44340</v>
      </c>
      <c r="J14" s="36">
        <v>15</v>
      </c>
      <c r="K14" s="12" t="s">
        <v>237</v>
      </c>
      <c r="L14" s="37" t="s">
        <v>238</v>
      </c>
      <c r="M14" s="37" t="s">
        <v>317</v>
      </c>
      <c r="N14" s="38">
        <v>126</v>
      </c>
      <c r="O14" s="38">
        <v>126</v>
      </c>
      <c r="P14" s="38">
        <v>87</v>
      </c>
      <c r="Q14" s="39">
        <f>IFERROR((Tabela3[[#This Row],[Aprovados]]*100)/Tabela3[[#This Row],[Matriculados]],0)</f>
        <v>69.047619047619051</v>
      </c>
      <c r="R14" s="40">
        <v>4</v>
      </c>
      <c r="S14" s="40">
        <v>4</v>
      </c>
      <c r="T14" s="40">
        <v>9</v>
      </c>
      <c r="U14" s="40">
        <v>22</v>
      </c>
    </row>
    <row r="15" spans="1:27" ht="30" customHeight="1" x14ac:dyDescent="0.25">
      <c r="A15" s="43">
        <f>Tabela2[[#This Row],[Nº]]</f>
        <v>13</v>
      </c>
      <c r="B15" s="32" t="str">
        <f>Tabela2[[#This Row],[Abrev]]</f>
        <v>CFGM</v>
      </c>
      <c r="C15" s="11" t="str">
        <f>'Controle adm. dos cursos'!D15</f>
        <v>Conhecimentos Fundamentais para Gestores Municipais de Proteção e Defesa Civil</v>
      </c>
      <c r="D15" s="43" t="str">
        <f>Tabela2[[#This Row],[Nome curto]]</f>
        <v>CFGMPDC2021</v>
      </c>
      <c r="E15" s="43">
        <f>Tabela2[[#This Row],[Nº curso]]</f>
        <v>145</v>
      </c>
      <c r="F15" s="12" t="str">
        <f>'Controle adm. dos cursos'!G15</f>
        <v>Turma I 2021</v>
      </c>
      <c r="G15" s="43">
        <f>'Controle adm. dos cursos'!H15</f>
        <v>2021</v>
      </c>
      <c r="H15" s="35">
        <v>44347</v>
      </c>
      <c r="I15" s="35">
        <v>44355</v>
      </c>
      <c r="J15" s="36">
        <v>8</v>
      </c>
      <c r="K15" s="12" t="s">
        <v>237</v>
      </c>
      <c r="L15" s="37" t="s">
        <v>238</v>
      </c>
      <c r="M15" s="37" t="s">
        <v>317</v>
      </c>
      <c r="N15" s="38">
        <v>176</v>
      </c>
      <c r="O15" s="38">
        <v>176</v>
      </c>
      <c r="P15" s="38">
        <v>106</v>
      </c>
      <c r="Q15" s="39">
        <f>IFERROR((Tabela3[[#This Row],[Aprovados]]*100)/Tabela3[[#This Row],[Matriculados]],0)</f>
        <v>60.227272727272727</v>
      </c>
      <c r="R15" s="40">
        <v>1</v>
      </c>
      <c r="S15" s="40">
        <v>69</v>
      </c>
      <c r="T15" s="40">
        <v>0</v>
      </c>
      <c r="U15" s="40">
        <v>0</v>
      </c>
    </row>
    <row r="16" spans="1:27" ht="30" customHeight="1" x14ac:dyDescent="0.25">
      <c r="A16" s="43">
        <f>Tabela2[[#This Row],[Nº]]</f>
        <v>14</v>
      </c>
      <c r="B16" s="32" t="str">
        <f>Tabela2[[#This Row],[Abrev]]</f>
        <v>SCI</v>
      </c>
      <c r="C16" s="11" t="str">
        <f>'Controle adm. dos cursos'!D16</f>
        <v>Sistema de Comando de Incidentes</v>
      </c>
      <c r="D16" s="43" t="str">
        <f>Tabela2[[#This Row],[Nome curto]]</f>
        <v>SCI5DE</v>
      </c>
      <c r="E16" s="43">
        <f>Tabela2[[#This Row],[Nº curso]]</f>
        <v>151</v>
      </c>
      <c r="F16" s="12" t="str">
        <f>'Controle adm. dos cursos'!G16</f>
        <v>Turma 5ª Divisão de Exército</v>
      </c>
      <c r="G16" s="43">
        <f>'Controle adm. dos cursos'!H16</f>
        <v>2021</v>
      </c>
      <c r="H16" s="35">
        <v>44361</v>
      </c>
      <c r="I16" s="35">
        <v>44421</v>
      </c>
      <c r="J16" s="36">
        <v>40</v>
      </c>
      <c r="K16" s="12" t="s">
        <v>237</v>
      </c>
      <c r="L16" s="37" t="s">
        <v>238</v>
      </c>
      <c r="M16" s="37" t="s">
        <v>317</v>
      </c>
      <c r="N16" s="38">
        <v>28</v>
      </c>
      <c r="O16" s="38">
        <v>28</v>
      </c>
      <c r="P16" s="38">
        <v>27</v>
      </c>
      <c r="Q16" s="39">
        <f>IFERROR((Tabela3[[#This Row],[Aprovados]]*100)/Tabela3[[#This Row],[Matriculados]],0)</f>
        <v>96.428571428571431</v>
      </c>
      <c r="R16" s="40">
        <v>1</v>
      </c>
      <c r="S16" s="40">
        <v>0</v>
      </c>
      <c r="T16" s="40">
        <v>0</v>
      </c>
      <c r="U16" s="40">
        <v>0</v>
      </c>
    </row>
    <row r="17" spans="1:21" ht="30" customHeight="1" x14ac:dyDescent="0.25">
      <c r="A17" s="43">
        <f>Tabela2[[#This Row],[Nº]]</f>
        <v>15</v>
      </c>
      <c r="B17" s="32" t="str">
        <f>Tabela2[[#This Row],[Abrev]]</f>
        <v>REER</v>
      </c>
      <c r="C17" s="11" t="str">
        <f>'Controle adm. dos cursos'!D17</f>
        <v>Conhecimentos Básicos para Integrantes da Rede Estadual de Emergência de Radioamadores</v>
      </c>
      <c r="D17" s="43" t="str">
        <f>Tabela2[[#This Row],[Nome curto]]</f>
        <v>REER2021turma2</v>
      </c>
      <c r="E17" s="43">
        <f>Tabela2[[#This Row],[Nº curso]]</f>
        <v>146</v>
      </c>
      <c r="F17" s="12" t="str">
        <f>'Controle adm. dos cursos'!G17</f>
        <v>Turma II 2021</v>
      </c>
      <c r="G17" s="43">
        <f>'Controle adm. dos cursos'!H17</f>
        <v>2021</v>
      </c>
      <c r="H17" s="35">
        <v>44372</v>
      </c>
      <c r="I17" s="35">
        <v>44383</v>
      </c>
      <c r="J17" s="36">
        <v>15</v>
      </c>
      <c r="K17" s="12" t="s">
        <v>237</v>
      </c>
      <c r="L17" s="37" t="s">
        <v>238</v>
      </c>
      <c r="M17" s="37" t="s">
        <v>317</v>
      </c>
      <c r="N17" s="38">
        <v>40</v>
      </c>
      <c r="O17" s="38">
        <v>40</v>
      </c>
      <c r="P17" s="38">
        <v>12</v>
      </c>
      <c r="Q17" s="39">
        <f>IFERROR((Tabela3[[#This Row],[Aprovados]]*100)/Tabela3[[#This Row],[Matriculados]],0)</f>
        <v>30</v>
      </c>
      <c r="R17" s="40">
        <v>4</v>
      </c>
      <c r="S17" s="40">
        <v>2</v>
      </c>
      <c r="T17" s="40">
        <v>0</v>
      </c>
      <c r="U17" s="40">
        <v>22</v>
      </c>
    </row>
    <row r="18" spans="1:21" ht="30" customHeight="1" x14ac:dyDescent="0.25">
      <c r="A18" s="43">
        <f>Tabela2[[#This Row],[Nº]]</f>
        <v>16</v>
      </c>
      <c r="B18" s="32" t="str">
        <f>Tabela2[[#This Row],[Abrev]]</f>
        <v>CFGM</v>
      </c>
      <c r="C18" s="11" t="str">
        <f>'Controle adm. dos cursos'!D18</f>
        <v>Conhecimentos Fundamentais para Gestores Municipais de Proteção e Defesa Civil</v>
      </c>
      <c r="D18" s="43" t="str">
        <f>Tabela2[[#This Row],[Nome curto]]</f>
        <v>CFGMPDCII2021</v>
      </c>
      <c r="E18" s="43">
        <f>Tabela2[[#This Row],[Nº curso]]</f>
        <v>153</v>
      </c>
      <c r="F18" s="12" t="str">
        <f>'Controle adm. dos cursos'!G18</f>
        <v>Turma II 2021</v>
      </c>
      <c r="G18" s="43">
        <f>'Controle adm. dos cursos'!H18</f>
        <v>2021</v>
      </c>
      <c r="H18" s="35">
        <v>44417</v>
      </c>
      <c r="I18" s="35">
        <v>44428</v>
      </c>
      <c r="J18" s="36">
        <v>8</v>
      </c>
      <c r="K18" s="12" t="s">
        <v>237</v>
      </c>
      <c r="L18" s="37" t="s">
        <v>238</v>
      </c>
      <c r="M18" s="37" t="s">
        <v>317</v>
      </c>
      <c r="N18" s="38">
        <v>34</v>
      </c>
      <c r="O18" s="38">
        <v>34</v>
      </c>
      <c r="P18" s="38">
        <v>22</v>
      </c>
      <c r="Q18" s="39">
        <f>IFERROR((Tabela3[[#This Row],[Aprovados]]*100)/Tabela3[[#This Row],[Matriculados]],0)</f>
        <v>64.705882352941174</v>
      </c>
      <c r="R18" s="40">
        <v>1</v>
      </c>
      <c r="S18" s="40">
        <v>0</v>
      </c>
      <c r="T18" s="40">
        <v>11</v>
      </c>
      <c r="U18" s="40">
        <v>0</v>
      </c>
    </row>
    <row r="19" spans="1:21" ht="30" customHeight="1" x14ac:dyDescent="0.25">
      <c r="A19" s="43">
        <f>Tabela2[[#This Row],[Nº]]</f>
        <v>17</v>
      </c>
      <c r="B19" s="32" t="str">
        <f>Tabela2[[#This Row],[Abrev]]</f>
        <v>SCI</v>
      </c>
      <c r="C19" s="11" t="str">
        <f>'Controle adm. dos cursos'!D19</f>
        <v>Sistema de Comando de Incidentes</v>
      </c>
      <c r="D19" s="43" t="str">
        <f>Tabela2[[#This Row],[Nome curto]]</f>
        <v>SCIcosmo</v>
      </c>
      <c r="E19" s="43">
        <f>Tabela2[[#This Row],[Nº curso]]</f>
        <v>154</v>
      </c>
      <c r="F19" s="12" t="str">
        <f>'Controle adm. dos cursos'!G19</f>
        <v>Turma COSMO  2021</v>
      </c>
      <c r="G19" s="43">
        <f>'Controle adm. dos cursos'!H19</f>
        <v>2021</v>
      </c>
      <c r="H19" s="35">
        <v>44417</v>
      </c>
      <c r="I19" s="35">
        <v>44449</v>
      </c>
      <c r="J19" s="36">
        <v>20</v>
      </c>
      <c r="K19" s="12" t="s">
        <v>237</v>
      </c>
      <c r="L19" s="37" t="s">
        <v>238</v>
      </c>
      <c r="M19" s="37" t="s">
        <v>317</v>
      </c>
      <c r="N19" s="38">
        <v>48</v>
      </c>
      <c r="O19" s="38">
        <v>48</v>
      </c>
      <c r="P19" s="38">
        <v>26</v>
      </c>
      <c r="Q19" s="39">
        <f>IFERROR((Tabela3[[#This Row],[Aprovados]]*100)/Tabela3[[#This Row],[Matriculados]],0)</f>
        <v>54.166666666666664</v>
      </c>
      <c r="R19" s="40">
        <v>5</v>
      </c>
      <c r="S19" s="40">
        <v>5</v>
      </c>
      <c r="T19" s="40">
        <v>12</v>
      </c>
      <c r="U19" s="40">
        <v>0</v>
      </c>
    </row>
    <row r="20" spans="1:21" ht="30" customHeight="1" x14ac:dyDescent="0.25">
      <c r="A20" s="43">
        <f>Tabela2[[#This Row],[Nº]]</f>
        <v>18</v>
      </c>
      <c r="B20" s="32" t="str">
        <f>Tabela2[[#This Row],[Abrev]]</f>
        <v>PP</v>
      </c>
      <c r="C20" s="11" t="str">
        <f>'Controle adm. dos cursos'!D20</f>
        <v>Atendimento a Emergências com Produtos Perigosos</v>
      </c>
      <c r="D20" s="43" t="str">
        <f>Tabela2[[#This Row],[Nome curto]]</f>
        <v>PP</v>
      </c>
      <c r="E20" s="43">
        <f>Tabela2[[#This Row],[Nº curso]]</f>
        <v>158</v>
      </c>
      <c r="F20" s="12" t="str">
        <f>'Controle adm. dos cursos'!G20</f>
        <v>Turma I 2022</v>
      </c>
      <c r="G20" s="43">
        <f>'Controle adm. dos cursos'!H20</f>
        <v>2022</v>
      </c>
      <c r="H20" s="35">
        <v>44571</v>
      </c>
      <c r="I20" s="35">
        <v>44613</v>
      </c>
      <c r="J20" s="36">
        <v>30</v>
      </c>
      <c r="K20" s="12" t="s">
        <v>242</v>
      </c>
      <c r="L20" s="37" t="s">
        <v>238</v>
      </c>
      <c r="M20" s="37" t="s">
        <v>317</v>
      </c>
      <c r="N20" s="38">
        <v>54</v>
      </c>
      <c r="O20" s="38">
        <v>54</v>
      </c>
      <c r="P20" s="38">
        <v>33</v>
      </c>
      <c r="Q20" s="39">
        <f>IFERROR((Tabela3[[#This Row],[Aprovados]]*100)/Tabela3[[#This Row],[Matriculados]],0)</f>
        <v>61.111111111111114</v>
      </c>
      <c r="R20" s="40">
        <v>0</v>
      </c>
      <c r="S20" s="40">
        <v>8</v>
      </c>
      <c r="T20" s="40">
        <v>13</v>
      </c>
      <c r="U20" s="40">
        <v>0</v>
      </c>
    </row>
    <row r="21" spans="1:21" ht="30" customHeight="1" x14ac:dyDescent="0.25">
      <c r="A21" s="43">
        <f>Tabela2[[#This Row],[Nº]]</f>
        <v>19</v>
      </c>
      <c r="B21" s="32" t="str">
        <f>Tabela2[[#This Row],[Abrev]]</f>
        <v>SCI</v>
      </c>
      <c r="C21" s="11" t="str">
        <f>'Controle adm. dos cursos'!D21</f>
        <v>Sistema de Comando de Incidentes</v>
      </c>
      <c r="D21" s="43" t="str">
        <f>Tabela2[[#This Row],[Nome curto]]</f>
        <v>sciimuv</v>
      </c>
      <c r="E21" s="43">
        <f>Tabela2[[#This Row],[Nº curso]]</f>
        <v>161</v>
      </c>
      <c r="F21" s="12" t="str">
        <f>'Controle adm. dos cursos'!G21</f>
        <v>Turma: IMUV</v>
      </c>
      <c r="G21" s="43">
        <f>'Controle adm. dos cursos'!H21</f>
        <v>2022</v>
      </c>
      <c r="H21" s="35">
        <v>44657</v>
      </c>
      <c r="I21" s="35">
        <v>44687</v>
      </c>
      <c r="J21" s="36">
        <v>40</v>
      </c>
      <c r="K21" s="12" t="s">
        <v>237</v>
      </c>
      <c r="L21" s="37" t="s">
        <v>238</v>
      </c>
      <c r="M21" s="37" t="s">
        <v>317</v>
      </c>
      <c r="N21" s="38">
        <v>297</v>
      </c>
      <c r="O21" s="38">
        <v>297</v>
      </c>
      <c r="P21" s="38">
        <v>57</v>
      </c>
      <c r="Q21" s="39">
        <f>IFERROR((Tabela3[[#This Row],[Aprovados]]*100)/Tabela3[[#This Row],[Matriculados]],0)</f>
        <v>19.19191919191919</v>
      </c>
      <c r="R21" s="40">
        <v>8</v>
      </c>
      <c r="S21" s="40">
        <v>6</v>
      </c>
      <c r="T21" s="40">
        <v>26</v>
      </c>
      <c r="U21" s="40">
        <v>200</v>
      </c>
    </row>
    <row r="22" spans="1:21" ht="30" customHeight="1" x14ac:dyDescent="0.25">
      <c r="A22" s="43">
        <f>Tabela2[[#This Row],[Nº]]</f>
        <v>20</v>
      </c>
      <c r="B22" s="32" t="str">
        <f>Tabela2[[#This Row],[Abrev]]</f>
        <v>CPCIF</v>
      </c>
      <c r="C22" s="11" t="str">
        <f>'Controle adm. dos cursos'!D22</f>
        <v>Curso de Prevenção e Combate a Incêndios Florestais</v>
      </c>
      <c r="D22" s="43" t="str">
        <f>Tabela2[[#This Row],[Nome curto]]</f>
        <v>CPCIFVV</v>
      </c>
      <c r="E22" s="43">
        <f>Tabela2[[#This Row],[Nº curso]]</f>
        <v>167</v>
      </c>
      <c r="F22" s="12" t="str">
        <f>'Controle adm. dos cursos'!G22</f>
        <v>TURMA Vila Velha</v>
      </c>
      <c r="G22" s="43">
        <f>'Controle adm. dos cursos'!H22</f>
        <v>2022</v>
      </c>
      <c r="H22" s="35">
        <v>44733</v>
      </c>
      <c r="I22" s="35">
        <v>44733</v>
      </c>
      <c r="J22" s="36">
        <v>10</v>
      </c>
      <c r="K22" s="12" t="s">
        <v>237</v>
      </c>
      <c r="L22" s="37" t="s">
        <v>243</v>
      </c>
      <c r="M22" s="37" t="s">
        <v>404</v>
      </c>
      <c r="N22" s="38">
        <v>36</v>
      </c>
      <c r="O22" s="38">
        <v>36</v>
      </c>
      <c r="P22" s="38">
        <v>36</v>
      </c>
      <c r="Q22" s="39">
        <f>IFERROR((Tabela3[[#This Row],[Aprovados]]*100)/Tabela3[[#This Row],[Matriculados]],0)</f>
        <v>100</v>
      </c>
      <c r="R22" s="40">
        <v>0</v>
      </c>
      <c r="S22" s="40">
        <v>0</v>
      </c>
      <c r="T22" s="40">
        <v>0</v>
      </c>
      <c r="U22" s="40">
        <v>0</v>
      </c>
    </row>
    <row r="23" spans="1:21" ht="30" customHeight="1" x14ac:dyDescent="0.25">
      <c r="A23" s="43">
        <f>Tabela2[[#This Row],[Nº]]</f>
        <v>21</v>
      </c>
      <c r="B23" s="32" t="str">
        <f>Tabela2[[#This Row],[Abrev]]</f>
        <v>SCI</v>
      </c>
      <c r="C23" s="11" t="str">
        <f>'Controle adm. dos cursos'!D23</f>
        <v>Sistema de Comando de Incidentes</v>
      </c>
      <c r="D23" s="43" t="str">
        <f>Tabela2[[#This Row],[Nome curto]]</f>
        <v>sci1apoiocedec</v>
      </c>
      <c r="E23" s="43">
        <f>Tabela2[[#This Row],[Nº curso]]</f>
        <v>165</v>
      </c>
      <c r="F23" s="12" t="str">
        <f>'Controle adm. dos cursos'!G23</f>
        <v>Turma I Orgãos de Apoio CEDEC</v>
      </c>
      <c r="G23" s="43">
        <f>'Controle adm. dos cursos'!H23</f>
        <v>2022</v>
      </c>
      <c r="H23" s="35">
        <v>44739</v>
      </c>
      <c r="I23" s="35">
        <v>44764</v>
      </c>
      <c r="J23" s="36">
        <v>40</v>
      </c>
      <c r="K23" s="12" t="s">
        <v>242</v>
      </c>
      <c r="L23" s="37" t="s">
        <v>238</v>
      </c>
      <c r="M23" s="37" t="s">
        <v>317</v>
      </c>
      <c r="N23" s="38">
        <v>185</v>
      </c>
      <c r="O23" s="38">
        <v>185</v>
      </c>
      <c r="P23" s="38">
        <v>120</v>
      </c>
      <c r="Q23" s="39">
        <f>IFERROR((Tabela3[[#This Row],[Aprovados]]*100)/Tabela3[[#This Row],[Matriculados]],0)</f>
        <v>64.86486486486487</v>
      </c>
      <c r="R23" s="40">
        <v>12</v>
      </c>
      <c r="S23" s="40">
        <v>10</v>
      </c>
      <c r="T23" s="40">
        <v>43</v>
      </c>
      <c r="U23" s="40">
        <v>0</v>
      </c>
    </row>
    <row r="24" spans="1:21" ht="30" customHeight="1" x14ac:dyDescent="0.25">
      <c r="A24" s="43">
        <f>Tabela2[[#This Row],[Nº]]</f>
        <v>22</v>
      </c>
      <c r="B24" s="32" t="str">
        <f>Tabela2[[#This Row],[Abrev]]</f>
        <v>CFGM</v>
      </c>
      <c r="C24" s="11" t="str">
        <f>'Controle adm. dos cursos'!D24</f>
        <v>Conhecimentos Fundamentais para Gestores Municipais de Proteção e Defesa Civil</v>
      </c>
      <c r="D24" s="43" t="str">
        <f>Tabela2[[#This Row],[Nome curto]]</f>
        <v>CFGMPDCI2022</v>
      </c>
      <c r="E24" s="43">
        <f>Tabela2[[#This Row],[Nº curso]]</f>
        <v>163</v>
      </c>
      <c r="F24" s="12" t="str">
        <f>'Controle adm. dos cursos'!G24</f>
        <v>Turma I 2022</v>
      </c>
      <c r="G24" s="43">
        <f>'Controle adm. dos cursos'!H24</f>
        <v>2022</v>
      </c>
      <c r="H24" s="35">
        <v>44746</v>
      </c>
      <c r="I24" s="35">
        <v>44757</v>
      </c>
      <c r="J24" s="36">
        <v>8</v>
      </c>
      <c r="K24" s="12" t="s">
        <v>244</v>
      </c>
      <c r="L24" s="37" t="s">
        <v>238</v>
      </c>
      <c r="M24" s="37" t="s">
        <v>317</v>
      </c>
      <c r="N24" s="38">
        <v>40</v>
      </c>
      <c r="O24" s="38">
        <v>40</v>
      </c>
      <c r="P24" s="38">
        <v>24</v>
      </c>
      <c r="Q24" s="39">
        <f>IFERROR((Tabela3[[#This Row],[Aprovados]]*100)/Tabela3[[#This Row],[Matriculados]],0)</f>
        <v>60</v>
      </c>
      <c r="R24" s="40">
        <v>2</v>
      </c>
      <c r="S24" s="40">
        <v>0</v>
      </c>
      <c r="T24" s="40">
        <v>14</v>
      </c>
      <c r="U24" s="40">
        <v>0</v>
      </c>
    </row>
    <row r="25" spans="1:21" ht="30" customHeight="1" x14ac:dyDescent="0.25">
      <c r="A25" s="43">
        <f>Tabela2[[#This Row],[Nº]]</f>
        <v>23</v>
      </c>
      <c r="B25" s="32" t="str">
        <f>Tabela2[[#This Row],[Abrev]]</f>
        <v>SCI</v>
      </c>
      <c r="C25" s="11" t="str">
        <f>'Controle adm. dos cursos'!D25</f>
        <v>Sistema de Comando de Incidentes</v>
      </c>
      <c r="D25" s="43" t="str">
        <f>Tabela2[[#This Row],[Nome curto]]</f>
        <v>scimt</v>
      </c>
      <c r="E25" s="43">
        <f>Tabela2[[#This Row],[Nº curso]]</f>
        <v>166</v>
      </c>
      <c r="F25" s="12" t="str">
        <f>'Controle adm. dos cursos'!G25</f>
        <v>Turma MT</v>
      </c>
      <c r="G25" s="43">
        <f>'Controle adm. dos cursos'!H25</f>
        <v>2022</v>
      </c>
      <c r="H25" s="35">
        <v>44747</v>
      </c>
      <c r="I25" s="35">
        <v>44770</v>
      </c>
      <c r="J25" s="36">
        <v>40</v>
      </c>
      <c r="K25" s="12" t="s">
        <v>242</v>
      </c>
      <c r="L25" s="37" t="s">
        <v>238</v>
      </c>
      <c r="M25" s="37" t="s">
        <v>317</v>
      </c>
      <c r="N25" s="38">
        <v>177</v>
      </c>
      <c r="O25" s="38">
        <v>177</v>
      </c>
      <c r="P25" s="38">
        <v>155</v>
      </c>
      <c r="Q25" s="39">
        <f>IFERROR((Tabela3[[#This Row],[Aprovados]]*100)/Tabela3[[#This Row],[Matriculados]],0)</f>
        <v>87.570621468926561</v>
      </c>
      <c r="R25" s="40">
        <v>4</v>
      </c>
      <c r="S25" s="40">
        <v>2</v>
      </c>
      <c r="T25" s="40">
        <v>15</v>
      </c>
      <c r="U25" s="40">
        <v>1</v>
      </c>
    </row>
    <row r="26" spans="1:21" ht="30" customHeight="1" x14ac:dyDescent="0.25">
      <c r="A26" s="43">
        <f>Tabela2[[#This Row],[Nº]]</f>
        <v>24</v>
      </c>
      <c r="B26" s="32" t="str">
        <f>Tabela2[[#This Row],[Abrev]]</f>
        <v>RD</v>
      </c>
      <c r="C26" s="11" t="str">
        <f>'Controle adm. dos cursos'!D26</f>
        <v>RISCOS E DESASTRES: conhecimentos fundamentais</v>
      </c>
      <c r="D26" s="43" t="str">
        <f>Tabela2[[#This Row],[Nome curto]]</f>
        <v>RD12022</v>
      </c>
      <c r="E26" s="43">
        <f>Tabela2[[#This Row],[Nº curso]]</f>
        <v>164</v>
      </c>
      <c r="F26" s="12" t="str">
        <f>'Controle adm. dos cursos'!G26</f>
        <v>Turma I 2022</v>
      </c>
      <c r="G26" s="43">
        <f>'Controle adm. dos cursos'!H26</f>
        <v>2022</v>
      </c>
      <c r="H26" s="35">
        <v>44767</v>
      </c>
      <c r="I26" s="35">
        <v>44785</v>
      </c>
      <c r="J26" s="36">
        <v>20</v>
      </c>
      <c r="K26" s="12" t="s">
        <v>244</v>
      </c>
      <c r="L26" s="37" t="s">
        <v>238</v>
      </c>
      <c r="M26" s="37" t="s">
        <v>317</v>
      </c>
      <c r="N26" s="38">
        <v>86</v>
      </c>
      <c r="O26" s="38">
        <v>86</v>
      </c>
      <c r="P26" s="38">
        <v>55</v>
      </c>
      <c r="Q26" s="39">
        <f>IFERROR((Tabela3[[#This Row],[Aprovados]]*100)/Tabela3[[#This Row],[Matriculados]],0)</f>
        <v>63.953488372093027</v>
      </c>
      <c r="R26" s="40">
        <v>5</v>
      </c>
      <c r="S26" s="40">
        <v>8</v>
      </c>
      <c r="T26" s="40">
        <v>16</v>
      </c>
      <c r="U26" s="40">
        <v>2</v>
      </c>
    </row>
    <row r="27" spans="1:21" ht="30" customHeight="1" x14ac:dyDescent="0.25">
      <c r="A27" s="43">
        <f>Tabela2[[#This Row],[Nº]]</f>
        <v>25</v>
      </c>
      <c r="B27" s="32" t="str">
        <f>Tabela2[[#This Row],[Abrev]]</f>
        <v>CFGM</v>
      </c>
      <c r="C27" s="11" t="str">
        <f>'Controle adm. dos cursos'!D27</f>
        <v>Conhecimentos Fundamentais para Gestores Municipais de Proteção e Defesa Civil</v>
      </c>
      <c r="D27" s="43" t="str">
        <f>Tabela2[[#This Row],[Nome curto]]</f>
        <v>CFGMPDCII2022</v>
      </c>
      <c r="E27" s="43">
        <f>Tabela2[[#This Row],[Nº curso]]</f>
        <v>168</v>
      </c>
      <c r="F27" s="12" t="str">
        <f>'Controle adm. dos cursos'!G27</f>
        <v>Turma II 2022</v>
      </c>
      <c r="G27" s="43">
        <f>'Controle adm. dos cursos'!H27</f>
        <v>2022</v>
      </c>
      <c r="H27" s="35">
        <v>44795</v>
      </c>
      <c r="I27" s="35">
        <v>44806</v>
      </c>
      <c r="J27" s="36">
        <v>8</v>
      </c>
      <c r="K27" s="12" t="s">
        <v>244</v>
      </c>
      <c r="L27" s="37" t="s">
        <v>238</v>
      </c>
      <c r="M27" s="37" t="s">
        <v>317</v>
      </c>
      <c r="N27" s="38">
        <v>30</v>
      </c>
      <c r="O27" s="38">
        <v>30</v>
      </c>
      <c r="P27" s="38">
        <v>22</v>
      </c>
      <c r="Q27" s="39">
        <f>IFERROR((Tabela3[[#This Row],[Aprovados]]*100)/Tabela3[[#This Row],[Matriculados]],0)</f>
        <v>73.333333333333329</v>
      </c>
      <c r="R27" s="40">
        <v>1</v>
      </c>
      <c r="S27" s="40">
        <v>0</v>
      </c>
      <c r="T27" s="40">
        <v>7</v>
      </c>
      <c r="U27" s="40">
        <v>0</v>
      </c>
    </row>
    <row r="28" spans="1:21" ht="30" customHeight="1" x14ac:dyDescent="0.25">
      <c r="A28" s="43">
        <f>Tabela2[[#This Row],[Nº]]</f>
        <v>26</v>
      </c>
      <c r="B28" s="32" t="str">
        <f>Tabela2[[#This Row],[Abrev]]</f>
        <v>CPCIF</v>
      </c>
      <c r="C28" s="11" t="str">
        <f>'Controle adm. dos cursos'!D28</f>
        <v>Curso de Prevenção e Combate a Incêndios Florestais</v>
      </c>
      <c r="D28" s="43" t="str">
        <f>Tabela2[[#This Row],[Nome curto]]</f>
        <v>CPCIFFM</v>
      </c>
      <c r="E28" s="43">
        <f>Tabela2[[#This Row],[Nº curso]]</f>
        <v>172</v>
      </c>
      <c r="F28" s="12" t="str">
        <f>'Controle adm. dos cursos'!G28</f>
        <v>TURMA Floresta Metropolitana</v>
      </c>
      <c r="G28" s="43">
        <f>'Controle adm. dos cursos'!H28</f>
        <v>2022</v>
      </c>
      <c r="H28" s="35">
        <v>44800</v>
      </c>
      <c r="I28" s="35">
        <v>44800</v>
      </c>
      <c r="J28" s="36">
        <v>10</v>
      </c>
      <c r="K28" s="12" t="s">
        <v>242</v>
      </c>
      <c r="L28" s="37" t="s">
        <v>243</v>
      </c>
      <c r="M28" s="37" t="s">
        <v>404</v>
      </c>
      <c r="N28" s="38">
        <v>32</v>
      </c>
      <c r="O28" s="38">
        <v>32</v>
      </c>
      <c r="P28" s="38">
        <v>32</v>
      </c>
      <c r="Q28" s="39">
        <f>IFERROR((Tabela3[[#This Row],[Aprovados]]*100)/Tabela3[[#This Row],[Matriculados]],0)</f>
        <v>100</v>
      </c>
      <c r="R28" s="40">
        <v>0</v>
      </c>
      <c r="S28" s="40">
        <v>0</v>
      </c>
      <c r="T28" s="40">
        <v>0</v>
      </c>
      <c r="U28" s="40">
        <v>0</v>
      </c>
    </row>
    <row r="29" spans="1:21" ht="30" customHeight="1" x14ac:dyDescent="0.25">
      <c r="A29" s="43">
        <f>Tabela2[[#This Row],[Nº]]</f>
        <v>27</v>
      </c>
      <c r="B29" s="32" t="str">
        <f>Tabela2[[#This Row],[Abrev]]</f>
        <v>REER</v>
      </c>
      <c r="C29" s="11" t="str">
        <f>'Controle adm. dos cursos'!D29</f>
        <v>Conhecimentos Básicos para Integrantes da Rede Estadual de Emergência de Radioamadores</v>
      </c>
      <c r="D29" s="43" t="str">
        <f>Tabela2[[#This Row],[Nome curto]]</f>
        <v>REER2022turma1</v>
      </c>
      <c r="E29" s="43">
        <f>Tabela2[[#This Row],[Nº curso]]</f>
        <v>171</v>
      </c>
      <c r="F29" s="12" t="str">
        <f>'Controle adm. dos cursos'!G29</f>
        <v>Turma I 2022</v>
      </c>
      <c r="G29" s="43">
        <f>'Controle adm. dos cursos'!H29</f>
        <v>2022</v>
      </c>
      <c r="H29" s="35">
        <v>44816</v>
      </c>
      <c r="I29" s="35">
        <v>44834</v>
      </c>
      <c r="J29" s="36">
        <v>30</v>
      </c>
      <c r="K29" s="12" t="s">
        <v>242</v>
      </c>
      <c r="L29" s="37" t="s">
        <v>238</v>
      </c>
      <c r="M29" s="37" t="s">
        <v>317</v>
      </c>
      <c r="N29" s="38">
        <v>22</v>
      </c>
      <c r="O29" s="38">
        <v>22</v>
      </c>
      <c r="P29" s="38">
        <v>18</v>
      </c>
      <c r="Q29" s="39">
        <f>IFERROR((Tabela3[[#This Row],[Aprovados]]*100)/Tabela3[[#This Row],[Matriculados]],0)</f>
        <v>81.818181818181813</v>
      </c>
      <c r="R29" s="40">
        <v>2</v>
      </c>
      <c r="S29" s="40">
        <v>0</v>
      </c>
      <c r="T29" s="40">
        <v>2</v>
      </c>
      <c r="U29" s="40">
        <v>0</v>
      </c>
    </row>
    <row r="30" spans="1:21" ht="30" customHeight="1" x14ac:dyDescent="0.25">
      <c r="A30" s="43">
        <f>Tabela2[[#This Row],[Nº]]</f>
        <v>28</v>
      </c>
      <c r="B30" s="32" t="str">
        <f>Tabela2[[#This Row],[Abrev]]</f>
        <v>SCI</v>
      </c>
      <c r="C30" s="11" t="str">
        <f>'Controle adm. dos cursos'!D30</f>
        <v>Sistema de Comando de Incidentes</v>
      </c>
      <c r="D30" s="43" t="str">
        <f>Tabela2[[#This Row],[Nome curto]]</f>
        <v>sciturma1</v>
      </c>
      <c r="E30" s="43">
        <f>Tabela2[[#This Row],[Nº curso]]</f>
        <v>173</v>
      </c>
      <c r="F30" s="12" t="str">
        <f>'Controle adm. dos cursos'!G30</f>
        <v>Turma I 2022</v>
      </c>
      <c r="G30" s="43">
        <f>'Controle adm. dos cursos'!H30</f>
        <v>2022</v>
      </c>
      <c r="H30" s="35">
        <v>44820</v>
      </c>
      <c r="I30" s="35">
        <v>44841</v>
      </c>
      <c r="J30" s="36">
        <v>40</v>
      </c>
      <c r="K30" s="12" t="s">
        <v>244</v>
      </c>
      <c r="L30" s="37" t="s">
        <v>238</v>
      </c>
      <c r="M30" s="37" t="s">
        <v>317</v>
      </c>
      <c r="N30" s="38">
        <v>98</v>
      </c>
      <c r="O30" s="38">
        <v>98</v>
      </c>
      <c r="P30" s="38">
        <v>60</v>
      </c>
      <c r="Q30" s="39">
        <f>IFERROR((Tabela3[[#This Row],[Aprovados]]*100)/Tabela3[[#This Row],[Matriculados]],0)</f>
        <v>61.224489795918366</v>
      </c>
      <c r="R30" s="40">
        <v>7</v>
      </c>
      <c r="S30" s="40">
        <v>2</v>
      </c>
      <c r="T30" s="40">
        <v>29</v>
      </c>
      <c r="U30" s="40">
        <v>0</v>
      </c>
    </row>
    <row r="31" spans="1:21" ht="30" customHeight="1" x14ac:dyDescent="0.25">
      <c r="A31" s="43">
        <f>Tabela2[[#This Row],[Nº]]</f>
        <v>29</v>
      </c>
      <c r="B31" s="32" t="str">
        <f>Tabela2[[#This Row],[Abrev]]</f>
        <v>SCI</v>
      </c>
      <c r="C31" s="11" t="str">
        <f>'Controle adm. dos cursos'!D31</f>
        <v>Sistema de Comando de Incidentes</v>
      </c>
      <c r="D31" s="43" t="str">
        <f>Tabela2[[#This Row],[Nome curto]]</f>
        <v>agro-set-2022</v>
      </c>
      <c r="E31" s="43">
        <f>Tabela2[[#This Row],[Nº curso]]</f>
        <v>174</v>
      </c>
      <c r="F31" s="12" t="str">
        <f>'Controle adm. dos cursos'!G31</f>
        <v>Turma AGRO-SET</v>
      </c>
      <c r="G31" s="43">
        <f>'Controle adm. dos cursos'!H31</f>
        <v>2022</v>
      </c>
      <c r="H31" s="35">
        <v>44823</v>
      </c>
      <c r="I31" s="35">
        <v>44848</v>
      </c>
      <c r="J31" s="36">
        <v>40</v>
      </c>
      <c r="K31" s="12" t="s">
        <v>242</v>
      </c>
      <c r="L31" s="37" t="s">
        <v>238</v>
      </c>
      <c r="M31" s="37" t="s">
        <v>317</v>
      </c>
      <c r="N31" s="38">
        <v>176</v>
      </c>
      <c r="O31" s="38">
        <v>176</v>
      </c>
      <c r="P31" s="38">
        <v>142</v>
      </c>
      <c r="Q31" s="39">
        <f>IFERROR((Tabela3[[#This Row],[Aprovados]]*100)/Tabela3[[#This Row],[Matriculados]],0)</f>
        <v>80.681818181818187</v>
      </c>
      <c r="R31" s="40">
        <v>3</v>
      </c>
      <c r="S31" s="40">
        <v>7</v>
      </c>
      <c r="T31" s="40">
        <v>24</v>
      </c>
      <c r="U31" s="40">
        <v>0</v>
      </c>
    </row>
    <row r="32" spans="1:21" ht="30" customHeight="1" x14ac:dyDescent="0.25">
      <c r="A32" s="43">
        <f>Tabela2[[#This Row],[Nº]]</f>
        <v>30</v>
      </c>
      <c r="B32" s="32" t="str">
        <f>Tabela2[[#This Row],[Abrev]]</f>
        <v>EE</v>
      </c>
      <c r="C32" s="11" t="str">
        <f>'Controle adm. dos cursos'!D32</f>
        <v>Atendimento de Emergências em Edificações</v>
      </c>
      <c r="D32" s="43" t="str">
        <f>Tabela2[[#This Row],[Nome curto]]</f>
        <v>EEQCG</v>
      </c>
      <c r="E32" s="43">
        <f>Tabela2[[#This Row],[Nº curso]]</f>
        <v>175</v>
      </c>
      <c r="F32" s="12" t="str">
        <f>'Controle adm. dos cursos'!G32</f>
        <v>Turma QCG</v>
      </c>
      <c r="G32" s="43">
        <f>'Controle adm. dos cursos'!H32</f>
        <v>2022</v>
      </c>
      <c r="H32" s="35">
        <v>44830</v>
      </c>
      <c r="I32" s="35">
        <v>44843</v>
      </c>
      <c r="J32" s="36">
        <v>56</v>
      </c>
      <c r="K32" s="12" t="s">
        <v>242</v>
      </c>
      <c r="L32" s="37" t="s">
        <v>241</v>
      </c>
      <c r="M32" s="37" t="s">
        <v>329</v>
      </c>
      <c r="N32" s="38">
        <v>782</v>
      </c>
      <c r="O32" s="38">
        <v>782</v>
      </c>
      <c r="P32" s="38">
        <v>681</v>
      </c>
      <c r="Q32" s="39">
        <f>IFERROR((Tabela3[[#This Row],[Aprovados]]*100)/Tabela3[[#This Row],[Matriculados]],0)</f>
        <v>87.084398976982101</v>
      </c>
      <c r="R32" s="40">
        <v>24</v>
      </c>
      <c r="S32" s="40">
        <v>23</v>
      </c>
      <c r="T32" s="40">
        <v>54</v>
      </c>
      <c r="U32" s="40">
        <v>0</v>
      </c>
    </row>
    <row r="33" spans="1:21" ht="30" customHeight="1" x14ac:dyDescent="0.25">
      <c r="A33" s="43">
        <f>Tabela2[[#This Row],[Nº]]</f>
        <v>31</v>
      </c>
      <c r="B33" s="32" t="str">
        <f>Tabela2[[#This Row],[Abrev]]</f>
        <v>RD</v>
      </c>
      <c r="C33" s="11" t="str">
        <f>'Controle adm. dos cursos'!D33</f>
        <v>RISCOS E DESASTRES: conhecimentos fundamentais</v>
      </c>
      <c r="D33" s="43" t="str">
        <f>Tabela2[[#This Row],[Nome curto]]</f>
        <v>RD22022</v>
      </c>
      <c r="E33" s="43">
        <f>Tabela2[[#This Row],[Nº curso]]</f>
        <v>176</v>
      </c>
      <c r="F33" s="12" t="str">
        <f>'Controle adm. dos cursos'!G33</f>
        <v>Turma II 2022</v>
      </c>
      <c r="G33" s="43">
        <f>'Controle adm. dos cursos'!H33</f>
        <v>2022</v>
      </c>
      <c r="H33" s="35">
        <v>44851</v>
      </c>
      <c r="I33" s="35">
        <v>44869</v>
      </c>
      <c r="J33" s="36">
        <v>20</v>
      </c>
      <c r="K33" s="12" t="s">
        <v>244</v>
      </c>
      <c r="L33" s="37" t="s">
        <v>238</v>
      </c>
      <c r="M33" s="37" t="s">
        <v>317</v>
      </c>
      <c r="N33" s="38">
        <v>46</v>
      </c>
      <c r="O33" s="38">
        <v>46</v>
      </c>
      <c r="P33" s="38">
        <v>7</v>
      </c>
      <c r="Q33" s="39">
        <f>IFERROR((Tabela3[[#This Row],[Aprovados]]*100)/Tabela3[[#This Row],[Matriculados]],0)</f>
        <v>15.217391304347826</v>
      </c>
      <c r="R33" s="40">
        <v>1</v>
      </c>
      <c r="S33" s="40">
        <v>1</v>
      </c>
      <c r="T33" s="40">
        <v>37</v>
      </c>
      <c r="U33" s="40">
        <v>0</v>
      </c>
    </row>
    <row r="34" spans="1:21" ht="30" customHeight="1" x14ac:dyDescent="0.25">
      <c r="A34" s="43">
        <f>Tabela2[[#This Row],[Nº]]</f>
        <v>32</v>
      </c>
      <c r="B34" s="32" t="str">
        <f>Tabela2[[#This Row],[Abrev]]</f>
        <v>SCI</v>
      </c>
      <c r="C34" s="11" t="str">
        <f>'Controle adm. dos cursos'!D34</f>
        <v>Sistema de Comando de Incidentes</v>
      </c>
      <c r="D34" s="43" t="str">
        <f>Tabela2[[#This Row],[Nome curto]]</f>
        <v>agro-out-2022</v>
      </c>
      <c r="E34" s="43">
        <f>Tabela2[[#This Row],[Nº curso]]</f>
        <v>178</v>
      </c>
      <c r="F34" s="12" t="str">
        <f>'Controle adm. dos cursos'!G34</f>
        <v>Turma AGRO-OUT</v>
      </c>
      <c r="G34" s="43">
        <f>'Controle adm. dos cursos'!H34</f>
        <v>2022</v>
      </c>
      <c r="H34" s="35">
        <v>44865</v>
      </c>
      <c r="I34" s="35">
        <v>44883</v>
      </c>
      <c r="J34" s="36">
        <v>40</v>
      </c>
      <c r="K34" s="12" t="s">
        <v>242</v>
      </c>
      <c r="L34" s="37" t="s">
        <v>238</v>
      </c>
      <c r="M34" s="37" t="s">
        <v>317</v>
      </c>
      <c r="N34" s="38">
        <v>164</v>
      </c>
      <c r="O34" s="38">
        <v>164</v>
      </c>
      <c r="P34" s="38">
        <v>150</v>
      </c>
      <c r="Q34" s="39">
        <f>IFERROR((Tabela3[[#This Row],[Aprovados]]*100)/Tabela3[[#This Row],[Matriculados]],0)</f>
        <v>91.463414634146346</v>
      </c>
      <c r="R34" s="40">
        <v>4</v>
      </c>
      <c r="S34" s="40">
        <v>3</v>
      </c>
      <c r="T34" s="40">
        <v>7</v>
      </c>
      <c r="U34" s="40">
        <v>0</v>
      </c>
    </row>
    <row r="35" spans="1:21" ht="30" customHeight="1" x14ac:dyDescent="0.25">
      <c r="A35" s="43">
        <f>Tabela2[[#This Row],[Nº]]</f>
        <v>33</v>
      </c>
      <c r="B35" s="32" t="str">
        <f>Tabela2[[#This Row],[Abrev]]</f>
        <v>CFGM</v>
      </c>
      <c r="C35" s="11" t="str">
        <f>'Controle adm. dos cursos'!D35</f>
        <v>Conhecimentos Fundamentais para Gestores Municipais de Proteção e Defesa Civil</v>
      </c>
      <c r="D35" s="43" t="str">
        <f>Tabela2[[#This Row],[Nome curto]]</f>
        <v>CFGMPDCI2023</v>
      </c>
      <c r="E35" s="43">
        <f>Tabela2[[#This Row],[Nº curso]]</f>
        <v>179</v>
      </c>
      <c r="F35" s="12" t="str">
        <f>'Controle adm. dos cursos'!G35</f>
        <v>Turma I 2023</v>
      </c>
      <c r="G35" s="43">
        <f>'Controle adm. dos cursos'!H35</f>
        <v>2023</v>
      </c>
      <c r="H35" s="35">
        <v>45005</v>
      </c>
      <c r="I35" s="35">
        <v>45016</v>
      </c>
      <c r="J35" s="36">
        <v>8</v>
      </c>
      <c r="K35" s="12" t="s">
        <v>244</v>
      </c>
      <c r="L35" s="37" t="s">
        <v>238</v>
      </c>
      <c r="M35" s="37" t="s">
        <v>317</v>
      </c>
      <c r="N35" s="38">
        <v>28</v>
      </c>
      <c r="O35" s="38">
        <v>28</v>
      </c>
      <c r="P35" s="38">
        <v>17</v>
      </c>
      <c r="Q35" s="39">
        <f>IFERROR((Tabela3[[#This Row],[Aprovados]]*100)/Tabela3[[#This Row],[Matriculados]],0)</f>
        <v>60.714285714285715</v>
      </c>
      <c r="R35" s="40">
        <v>0</v>
      </c>
      <c r="S35" s="40">
        <v>11</v>
      </c>
      <c r="T35" s="40">
        <v>0</v>
      </c>
      <c r="U35" s="40">
        <v>0</v>
      </c>
    </row>
    <row r="36" spans="1:21" ht="30" customHeight="1" x14ac:dyDescent="0.25">
      <c r="A36" s="43">
        <f>Tabela2[[#This Row],[Nº]]</f>
        <v>34</v>
      </c>
      <c r="B36" s="32" t="str">
        <f>Tabela2[[#This Row],[Abrev]]</f>
        <v>RD</v>
      </c>
      <c r="C36" s="11" t="str">
        <f>'Controle adm. dos cursos'!D36</f>
        <v>RISCOS E DESASTRES: conhecimentos fundamentais</v>
      </c>
      <c r="D36" s="43" t="str">
        <f>Tabela2[[#This Row],[Nome curto]]</f>
        <v>RD12023</v>
      </c>
      <c r="E36" s="43">
        <f>Tabela2[[#This Row],[Nº curso]]</f>
        <v>180</v>
      </c>
      <c r="F36" s="12" t="str">
        <f>'Controle adm. dos cursos'!G36</f>
        <v>Turma I 2023</v>
      </c>
      <c r="G36" s="43">
        <f>'Controle adm. dos cursos'!H36</f>
        <v>2023</v>
      </c>
      <c r="H36" s="35">
        <v>45047</v>
      </c>
      <c r="I36" s="35">
        <v>45065</v>
      </c>
      <c r="J36" s="36">
        <v>20</v>
      </c>
      <c r="K36" s="12" t="s">
        <v>244</v>
      </c>
      <c r="L36" s="37" t="s">
        <v>238</v>
      </c>
      <c r="M36" s="37" t="s">
        <v>317</v>
      </c>
      <c r="N36" s="38">
        <v>67</v>
      </c>
      <c r="O36" s="38">
        <v>67</v>
      </c>
      <c r="P36" s="38">
        <v>26</v>
      </c>
      <c r="Q36" s="39">
        <f>IFERROR((Tabela3[[#This Row],[Aprovados]]*100)/Tabela3[[#This Row],[Matriculados]],0)</f>
        <v>38.805970149253731</v>
      </c>
      <c r="R36" s="40">
        <v>4</v>
      </c>
      <c r="S36" s="40">
        <v>5</v>
      </c>
      <c r="T36" s="40">
        <v>32</v>
      </c>
      <c r="U36" s="40">
        <v>0</v>
      </c>
    </row>
    <row r="37" spans="1:21" ht="30" customHeight="1" x14ac:dyDescent="0.25">
      <c r="A37" s="43">
        <f>Tabela2[[#This Row],[Nº]]</f>
        <v>35</v>
      </c>
      <c r="B37" s="32" t="str">
        <f>Tabela2[[#This Row],[Abrev]]</f>
        <v>EE</v>
      </c>
      <c r="C37" s="11" t="str">
        <f>'Controle adm. dos cursos'!D37</f>
        <v>Atendimento de Emergências em Edificações</v>
      </c>
      <c r="D37" s="43" t="str">
        <f>Tabela2[[#This Row],[Nome curto]]</f>
        <v>EESESP123</v>
      </c>
      <c r="E37" s="43">
        <f>Tabela2[[#This Row],[Nº curso]]</f>
        <v>182</v>
      </c>
      <c r="F37" s="12" t="str">
        <f>'Controle adm. dos cursos'!G37</f>
        <v>Turma SESP</v>
      </c>
      <c r="G37" s="43">
        <f>'Controle adm. dos cursos'!H37</f>
        <v>2023</v>
      </c>
      <c r="H37" s="35">
        <v>45048</v>
      </c>
      <c r="I37" s="35">
        <v>45078</v>
      </c>
      <c r="J37" s="36">
        <v>56</v>
      </c>
      <c r="K37" s="12" t="s">
        <v>242</v>
      </c>
      <c r="L37" s="37" t="s">
        <v>241</v>
      </c>
      <c r="M37" s="37" t="s">
        <v>329</v>
      </c>
      <c r="N37" s="38">
        <v>278</v>
      </c>
      <c r="O37" s="38">
        <v>278</v>
      </c>
      <c r="P37" s="38">
        <v>211</v>
      </c>
      <c r="Q37" s="39">
        <f>IFERROR((Tabela3[[#This Row],[Aprovados]]*100)/Tabela3[[#This Row],[Matriculados]],0)</f>
        <v>75.899280575539564</v>
      </c>
      <c r="R37" s="40">
        <v>34</v>
      </c>
      <c r="S37" s="40">
        <v>4</v>
      </c>
      <c r="T37" s="40">
        <v>29</v>
      </c>
      <c r="U37" s="40">
        <v>0</v>
      </c>
    </row>
    <row r="38" spans="1:21" ht="30" customHeight="1" x14ac:dyDescent="0.25">
      <c r="A38" s="43">
        <f>Tabela2[[#This Row],[Nº]]</f>
        <v>36</v>
      </c>
      <c r="B38" s="32" t="str">
        <f>Tabela2[[#This Row],[Abrev]]</f>
        <v>CPC</v>
      </c>
      <c r="C38" s="11" t="str">
        <f>'Controle adm. dos cursos'!D38</f>
        <v>Capacitação Presencial COMPDECs</v>
      </c>
      <c r="D38" s="43" t="str">
        <f>Tabela2[[#This Row],[Nome curto]]</f>
        <v>CPC12023</v>
      </c>
      <c r="E38" s="43">
        <f>Tabela2[[#This Row],[Nº curso]]</f>
        <v>183</v>
      </c>
      <c r="F38" s="12" t="str">
        <f>'Controle adm. dos cursos'!G38</f>
        <v>Telêmaco Borba e Ponta Grossa</v>
      </c>
      <c r="G38" s="43">
        <f>'Controle adm. dos cursos'!H38</f>
        <v>2023</v>
      </c>
      <c r="H38" s="35">
        <v>45096</v>
      </c>
      <c r="I38" s="35">
        <v>45099</v>
      </c>
      <c r="J38" s="36">
        <v>16</v>
      </c>
      <c r="K38" s="12" t="s">
        <v>242</v>
      </c>
      <c r="L38" s="37" t="s">
        <v>243</v>
      </c>
      <c r="M38" s="37" t="s">
        <v>329</v>
      </c>
      <c r="N38" s="38">
        <v>28</v>
      </c>
      <c r="O38" s="38">
        <v>28</v>
      </c>
      <c r="P38" s="38">
        <v>28</v>
      </c>
      <c r="Q38" s="39">
        <f>IFERROR((Tabela3[[#This Row],[Aprovados]]*100)/Tabela3[[#This Row],[Matriculados]],0)</f>
        <v>100</v>
      </c>
      <c r="R38" s="40">
        <v>0</v>
      </c>
      <c r="S38" s="40">
        <v>0</v>
      </c>
      <c r="T38" s="40">
        <v>0</v>
      </c>
      <c r="U38" s="40">
        <v>0</v>
      </c>
    </row>
    <row r="39" spans="1:21" ht="30" customHeight="1" x14ac:dyDescent="0.25">
      <c r="A39" s="43">
        <f>Tabela2[[#This Row],[Nº]]</f>
        <v>37</v>
      </c>
      <c r="B39" s="32" t="str">
        <f>Tabela2[[#This Row],[Abrev]]</f>
        <v>PP</v>
      </c>
      <c r="C39" s="11" t="str">
        <f>'Controle adm. dos cursos'!D39</f>
        <v>Atendimento a Emergências com Produtos Perigosos</v>
      </c>
      <c r="D39" s="43" t="str">
        <f>Tabela2[[#This Row],[Nome curto]]</f>
        <v>PP2023I</v>
      </c>
      <c r="E39" s="43">
        <f>Tabela2[[#This Row],[Nº curso]]</f>
        <v>185</v>
      </c>
      <c r="F39" s="12" t="str">
        <f>'Controle adm. dos cursos'!G39</f>
        <v>Turma I 2023</v>
      </c>
      <c r="G39" s="43">
        <f>'Controle adm. dos cursos'!H39</f>
        <v>2023</v>
      </c>
      <c r="H39" s="35">
        <v>45101</v>
      </c>
      <c r="I39" s="35">
        <v>45149</v>
      </c>
      <c r="J39" s="36">
        <v>30</v>
      </c>
      <c r="K39" s="12" t="s">
        <v>242</v>
      </c>
      <c r="L39" s="37" t="s">
        <v>238</v>
      </c>
      <c r="M39" s="37" t="s">
        <v>317</v>
      </c>
      <c r="N39" s="38">
        <v>311</v>
      </c>
      <c r="O39" s="38">
        <v>311</v>
      </c>
      <c r="P39" s="38">
        <v>162</v>
      </c>
      <c r="Q39" s="39">
        <f>IFERROR((Tabela3[[#This Row],[Aprovados]]*100)/Tabela3[[#This Row],[Matriculados]],0)</f>
        <v>52.09003215434084</v>
      </c>
      <c r="R39" s="40">
        <v>6</v>
      </c>
      <c r="S39" s="40">
        <v>23</v>
      </c>
      <c r="T39" s="40">
        <v>120</v>
      </c>
      <c r="U39" s="40">
        <v>0</v>
      </c>
    </row>
    <row r="40" spans="1:21" ht="30" customHeight="1" x14ac:dyDescent="0.25">
      <c r="A40" s="43">
        <f>Tabela2[[#This Row],[Nº]]</f>
        <v>38</v>
      </c>
      <c r="B40" s="32" t="str">
        <f>Tabela2[[#This Row],[Abrev]]</f>
        <v>CFGM</v>
      </c>
      <c r="C40" s="11" t="str">
        <f>'Controle adm. dos cursos'!D40</f>
        <v>Conhecimentos Fundamentais para Gestores Municipais de Proteção e Defesa Civil</v>
      </c>
      <c r="D40" s="43" t="str">
        <f>Tabela2[[#This Row],[Nome curto]]</f>
        <v>CFGMPDCII2023</v>
      </c>
      <c r="E40" s="43">
        <f>Tabela2[[#This Row],[Nº curso]]</f>
        <v>184</v>
      </c>
      <c r="F40" s="12" t="str">
        <f>'Controle adm. dos cursos'!G40</f>
        <v>Turma II 2023</v>
      </c>
      <c r="G40" s="43">
        <f>'Controle adm. dos cursos'!H40</f>
        <v>2023</v>
      </c>
      <c r="H40" s="35">
        <v>45103</v>
      </c>
      <c r="I40" s="35">
        <v>45114</v>
      </c>
      <c r="J40" s="36">
        <v>8</v>
      </c>
      <c r="K40" s="12" t="s">
        <v>244</v>
      </c>
      <c r="L40" s="37" t="s">
        <v>238</v>
      </c>
      <c r="M40" s="37" t="s">
        <v>317</v>
      </c>
      <c r="N40" s="38">
        <v>24</v>
      </c>
      <c r="O40" s="38">
        <v>24</v>
      </c>
      <c r="P40" s="38">
        <v>13</v>
      </c>
      <c r="Q40" s="39">
        <f>IFERROR((Tabela3[[#This Row],[Aprovados]]*100)/Tabela3[[#This Row],[Matriculados]],0)</f>
        <v>54.166666666666664</v>
      </c>
      <c r="R40" s="40">
        <v>0</v>
      </c>
      <c r="S40" s="40">
        <v>11</v>
      </c>
      <c r="T40" s="40">
        <v>0</v>
      </c>
      <c r="U40" s="40">
        <v>0</v>
      </c>
    </row>
    <row r="41" spans="1:21" ht="30" customHeight="1" x14ac:dyDescent="0.25">
      <c r="A41" s="43">
        <f>Tabela2[[#This Row],[Nº]]</f>
        <v>39</v>
      </c>
      <c r="B41" s="32" t="str">
        <f>Tabela2[[#This Row],[Abrev]]</f>
        <v>FBEMS</v>
      </c>
      <c r="C41" s="11" t="str">
        <f>'Controle adm. dos cursos'!D41</f>
        <v>Formação de Brigadistas Escolares e Monitores de Segurança</v>
      </c>
      <c r="D41" s="43" t="str">
        <f>Tabela2[[#This Row],[Nome curto]]</f>
        <v>CFBE12023</v>
      </c>
      <c r="E41" s="43">
        <f>Tabela2[[#This Row],[Nº curso]]</f>
        <v>181</v>
      </c>
      <c r="F41" s="12" t="str">
        <f>'Controle adm. dos cursos'!G41</f>
        <v>Turma I 2023</v>
      </c>
      <c r="G41" s="43">
        <f>'Controle adm. dos cursos'!H41</f>
        <v>2023</v>
      </c>
      <c r="H41" s="35">
        <v>45103</v>
      </c>
      <c r="I41" s="35">
        <v>45152</v>
      </c>
      <c r="J41" s="36">
        <v>60</v>
      </c>
      <c r="K41" s="12" t="s">
        <v>242</v>
      </c>
      <c r="L41" s="37" t="s">
        <v>238</v>
      </c>
      <c r="M41" s="37" t="s">
        <v>324</v>
      </c>
      <c r="N41" s="38">
        <v>13955</v>
      </c>
      <c r="O41" s="38">
        <v>13955</v>
      </c>
      <c r="P41" s="38">
        <v>11098</v>
      </c>
      <c r="Q41" s="39">
        <f>IFERROR((Tabela3[[#This Row],[Aprovados]]*100)/Tabela3[[#This Row],[Matriculados]],0)</f>
        <v>79.527051236116094</v>
      </c>
      <c r="R41" s="38">
        <v>872</v>
      </c>
      <c r="S41" s="38">
        <v>619</v>
      </c>
      <c r="T41" s="38">
        <v>1366</v>
      </c>
      <c r="U41" s="38">
        <v>0</v>
      </c>
    </row>
    <row r="42" spans="1:21" ht="30" customHeight="1" x14ac:dyDescent="0.25">
      <c r="A42" s="43">
        <f>Tabela2[[#This Row],[Nº]]</f>
        <v>40</v>
      </c>
      <c r="B42" s="32" t="str">
        <f>Tabela2[[#This Row],[Abrev]]</f>
        <v>CPC</v>
      </c>
      <c r="C42" s="11" t="str">
        <f>'Controle adm. dos cursos'!D42</f>
        <v>Capacitação Presencial COMPDECs</v>
      </c>
      <c r="D42" s="43" t="str">
        <f>Tabela2[[#This Row],[Nome curto]]</f>
        <v>CPC22023</v>
      </c>
      <c r="E42" s="43">
        <f>Tabela2[[#This Row],[Nº curso]]</f>
        <v>187</v>
      </c>
      <c r="F42" s="12" t="str">
        <f>'Controle adm. dos cursos'!G42</f>
        <v>Umuarama</v>
      </c>
      <c r="G42" s="43">
        <f>'Controle adm. dos cursos'!H42</f>
        <v>2023</v>
      </c>
      <c r="H42" s="35">
        <v>45139</v>
      </c>
      <c r="I42" s="35">
        <v>45142</v>
      </c>
      <c r="J42" s="36">
        <v>16</v>
      </c>
      <c r="K42" s="12" t="s">
        <v>242</v>
      </c>
      <c r="L42" s="37" t="s">
        <v>243</v>
      </c>
      <c r="M42" s="37" t="s">
        <v>329</v>
      </c>
      <c r="N42" s="38">
        <v>12</v>
      </c>
      <c r="O42" s="38">
        <v>12</v>
      </c>
      <c r="P42" s="38">
        <v>12</v>
      </c>
      <c r="Q42" s="39">
        <f>IFERROR((Tabela3[[#This Row],[Aprovados]]*100)/Tabela3[[#This Row],[Matriculados]],0)</f>
        <v>100</v>
      </c>
      <c r="R42" s="40">
        <v>0</v>
      </c>
      <c r="S42" s="40">
        <v>0</v>
      </c>
      <c r="T42" s="40">
        <v>0</v>
      </c>
      <c r="U42" s="40">
        <v>0</v>
      </c>
    </row>
    <row r="43" spans="1:21" ht="30" customHeight="1" x14ac:dyDescent="0.25">
      <c r="A43" s="43">
        <f>Tabela2[[#This Row],[Nº]]</f>
        <v>41</v>
      </c>
      <c r="B43" s="32" t="str">
        <f>Tabela2[[#This Row],[Abrev]]</f>
        <v>CBCV</v>
      </c>
      <c r="C43" s="11" t="str">
        <f>'Controle adm. dos cursos'!D43</f>
        <v>Capacitação em Brigadistas Civis Voluntários</v>
      </c>
      <c r="D43" s="43" t="str">
        <f>Tabela2[[#This Row],[Nome curto]]</f>
        <v>CBCV12023</v>
      </c>
      <c r="E43" s="43">
        <f>Tabela2[[#This Row],[Nº curso]]</f>
        <v>186</v>
      </c>
      <c r="F43" s="12" t="str">
        <f>'Controle adm. dos cursos'!G43</f>
        <v>Turma I 2023</v>
      </c>
      <c r="G43" s="43">
        <f>'Controle adm. dos cursos'!H43</f>
        <v>2023</v>
      </c>
      <c r="H43" s="35">
        <v>45145</v>
      </c>
      <c r="I43" s="35">
        <v>45167</v>
      </c>
      <c r="J43" s="36">
        <v>40</v>
      </c>
      <c r="K43" s="12" t="s">
        <v>242</v>
      </c>
      <c r="L43" s="37" t="s">
        <v>241</v>
      </c>
      <c r="M43" s="37" t="s">
        <v>317</v>
      </c>
      <c r="N43" s="38">
        <v>318</v>
      </c>
      <c r="O43" s="38">
        <v>318</v>
      </c>
      <c r="P43" s="38">
        <v>64</v>
      </c>
      <c r="Q43" s="39">
        <f>IFERROR((Tabela3[[#This Row],[Aprovados]]*100)/Tabela3[[#This Row],[Matriculados]],0)</f>
        <v>20.125786163522012</v>
      </c>
      <c r="R43" s="40">
        <v>7</v>
      </c>
      <c r="S43" s="40">
        <v>146</v>
      </c>
      <c r="T43" s="40">
        <v>101</v>
      </c>
      <c r="U43" s="40">
        <v>0</v>
      </c>
    </row>
    <row r="44" spans="1:21" ht="30" customHeight="1" x14ac:dyDescent="0.25">
      <c r="A44" s="43">
        <f>Tabela2[[#This Row],[Nº]]</f>
        <v>42</v>
      </c>
      <c r="B44" s="32" t="str">
        <f>Tabela2[[#This Row],[Abrev]]</f>
        <v>CPC</v>
      </c>
      <c r="C44" s="11" t="str">
        <f>'Controle adm. dos cursos'!D44</f>
        <v>Capacitação Presencial COMPDECs</v>
      </c>
      <c r="D44" s="43" t="str">
        <f>Tabela2[[#This Row],[Nome curto]]</f>
        <v>CPC32023</v>
      </c>
      <c r="E44" s="43">
        <f>Tabela2[[#This Row],[Nº curso]]</f>
        <v>189</v>
      </c>
      <c r="F44" s="12" t="str">
        <f>'Controle adm. dos cursos'!G44</f>
        <v>Francisco Beltrão</v>
      </c>
      <c r="G44" s="43">
        <f>'Controle adm. dos cursos'!H44</f>
        <v>2023</v>
      </c>
      <c r="H44" s="35">
        <v>45160</v>
      </c>
      <c r="I44" s="35">
        <v>45163</v>
      </c>
      <c r="J44" s="36">
        <v>16</v>
      </c>
      <c r="K44" s="12" t="s">
        <v>242</v>
      </c>
      <c r="L44" s="37" t="s">
        <v>243</v>
      </c>
      <c r="M44" s="37" t="s">
        <v>329</v>
      </c>
      <c r="N44" s="38">
        <v>11</v>
      </c>
      <c r="O44" s="38">
        <v>11</v>
      </c>
      <c r="P44" s="38">
        <v>11</v>
      </c>
      <c r="Q44" s="39">
        <f>IFERROR((Tabela3[[#This Row],[Aprovados]]*100)/Tabela3[[#This Row],[Matriculados]],0)</f>
        <v>100</v>
      </c>
      <c r="R44" s="40">
        <v>0</v>
      </c>
      <c r="S44" s="40">
        <v>0</v>
      </c>
      <c r="T44" s="40">
        <v>0</v>
      </c>
      <c r="U44" s="40">
        <v>0</v>
      </c>
    </row>
    <row r="45" spans="1:21" ht="30" customHeight="1" x14ac:dyDescent="0.25">
      <c r="A45" s="43">
        <f>Tabela2[[#This Row],[Nº]]</f>
        <v>43</v>
      </c>
      <c r="B45" s="32" t="str">
        <f>Tabela2[[#This Row],[Abrev]]</f>
        <v>REER</v>
      </c>
      <c r="C45" s="11" t="str">
        <f>'Controle adm. dos cursos'!D45</f>
        <v>Conhecimentos Básicos para Integrantes da Rede Estadual de Emergência de Radioamadores</v>
      </c>
      <c r="D45" s="43" t="str">
        <f>Tabela2[[#This Row],[Nome curto]]</f>
        <v>REER2023turma1</v>
      </c>
      <c r="E45" s="43">
        <f>Tabela2[[#This Row],[Nº curso]]</f>
        <v>188</v>
      </c>
      <c r="F45" s="12" t="str">
        <f>'Controle adm. dos cursos'!G45</f>
        <v>Turma I 2023</v>
      </c>
      <c r="G45" s="43">
        <f>'Controle adm. dos cursos'!H45</f>
        <v>2023</v>
      </c>
      <c r="H45" s="35">
        <v>45173</v>
      </c>
      <c r="I45" s="35">
        <v>45194</v>
      </c>
      <c r="J45" s="36">
        <v>15</v>
      </c>
      <c r="K45" s="12" t="s">
        <v>242</v>
      </c>
      <c r="L45" s="37" t="s">
        <v>238</v>
      </c>
      <c r="M45" s="37" t="s">
        <v>317</v>
      </c>
      <c r="N45" s="38">
        <v>55</v>
      </c>
      <c r="O45" s="38">
        <v>55</v>
      </c>
      <c r="P45" s="38">
        <v>42</v>
      </c>
      <c r="Q45" s="39">
        <f>IFERROR((Tabela3[[#This Row],[Aprovados]]*100)/Tabela3[[#This Row],[Matriculados]],0)</f>
        <v>76.36363636363636</v>
      </c>
      <c r="R45" s="40">
        <v>3</v>
      </c>
      <c r="S45" s="40">
        <v>0</v>
      </c>
      <c r="T45" s="40">
        <v>10</v>
      </c>
      <c r="U45" s="40">
        <v>0</v>
      </c>
    </row>
    <row r="46" spans="1:21" ht="30" customHeight="1" x14ac:dyDescent="0.25">
      <c r="A46" s="43">
        <f>Tabela2[[#This Row],[Nº]]</f>
        <v>44</v>
      </c>
      <c r="B46" s="32" t="str">
        <f>Tabela2[[#This Row],[Abrev]]</f>
        <v>CPC</v>
      </c>
      <c r="C46" s="11" t="str">
        <f>'Controle adm. dos cursos'!D46</f>
        <v>Capacitação Presencial COMPDECs</v>
      </c>
      <c r="D46" s="43" t="str">
        <f>Tabela2[[#This Row],[Nome curto]]</f>
        <v>CPC42023</v>
      </c>
      <c r="E46" s="43">
        <f>Tabela2[[#This Row],[Nº curso]]</f>
        <v>192</v>
      </c>
      <c r="F46" s="12" t="str">
        <f>'Controle adm. dos cursos'!G46</f>
        <v>União da Vitória</v>
      </c>
      <c r="G46" s="43">
        <f>'Controle adm. dos cursos'!H46</f>
        <v>2023</v>
      </c>
      <c r="H46" s="16">
        <v>45180</v>
      </c>
      <c r="I46" s="16">
        <v>45181</v>
      </c>
      <c r="J46" s="17">
        <v>16</v>
      </c>
      <c r="K46" s="12" t="s">
        <v>242</v>
      </c>
      <c r="L46" s="37" t="s">
        <v>243</v>
      </c>
      <c r="M46" s="146" t="s">
        <v>329</v>
      </c>
      <c r="N46" s="18">
        <v>0</v>
      </c>
      <c r="O46" s="18">
        <v>0</v>
      </c>
      <c r="P46" s="18">
        <v>0</v>
      </c>
      <c r="Q46" s="39">
        <f>IFERROR((Tabela3[[#This Row],[Aprovados]]*100)/Tabela3[[#This Row],[Matriculados]],0)</f>
        <v>0</v>
      </c>
      <c r="R46" s="15">
        <v>0</v>
      </c>
      <c r="S46" s="15">
        <v>0</v>
      </c>
      <c r="T46" s="15">
        <v>0</v>
      </c>
      <c r="U46" s="15">
        <v>0</v>
      </c>
    </row>
    <row r="47" spans="1:21" ht="30" customHeight="1" x14ac:dyDescent="0.25">
      <c r="A47" s="43">
        <f>Tabela2[[#This Row],[Nº]]</f>
        <v>45</v>
      </c>
      <c r="B47" s="32" t="str">
        <f>Tabela2[[#This Row],[Abrev]]</f>
        <v>CPC</v>
      </c>
      <c r="C47" s="11" t="str">
        <f>'Controle adm. dos cursos'!D47</f>
        <v>Capacitação Presencial COMPDECs</v>
      </c>
      <c r="D47" s="43" t="str">
        <f>Tabela2[[#This Row],[Nome curto]]</f>
        <v>CPC52023</v>
      </c>
      <c r="E47" s="43">
        <f>Tabela2[[#This Row],[Nº curso]]</f>
        <v>193</v>
      </c>
      <c r="F47" s="12" t="str">
        <f>'Controle adm. dos cursos'!G47</f>
        <v>Irati</v>
      </c>
      <c r="G47" s="43">
        <f>'Controle adm. dos cursos'!H47</f>
        <v>2023</v>
      </c>
      <c r="H47" s="35">
        <v>45183</v>
      </c>
      <c r="I47" s="35">
        <v>45184</v>
      </c>
      <c r="J47" s="36">
        <v>16</v>
      </c>
      <c r="K47" s="12" t="s">
        <v>242</v>
      </c>
      <c r="L47" s="37" t="s">
        <v>243</v>
      </c>
      <c r="M47" s="146" t="s">
        <v>329</v>
      </c>
      <c r="N47" s="38">
        <v>1</v>
      </c>
      <c r="O47" s="38">
        <v>1</v>
      </c>
      <c r="P47" s="38">
        <v>1</v>
      </c>
      <c r="Q47" s="39">
        <f>IFERROR((Tabela3[[#This Row],[Aprovados]]*100)/Tabela3[[#This Row],[Matriculados]],0)</f>
        <v>100</v>
      </c>
      <c r="R47" s="40">
        <v>0</v>
      </c>
      <c r="S47" s="40">
        <v>0</v>
      </c>
      <c r="T47" s="40">
        <v>0</v>
      </c>
      <c r="U47" s="40">
        <v>0</v>
      </c>
    </row>
    <row r="48" spans="1:21" ht="30" customHeight="1" x14ac:dyDescent="0.25">
      <c r="A48" s="43">
        <f>Tabela2[[#This Row],[Nº]]</f>
        <v>46</v>
      </c>
      <c r="B48" s="32" t="str">
        <f>Tabela2[[#This Row],[Abrev]]</f>
        <v>CPC</v>
      </c>
      <c r="C48" s="11" t="str">
        <f>'Controle adm. dos cursos'!D48</f>
        <v>Capacitação Presencial COMPDECs</v>
      </c>
      <c r="D48" s="43" t="str">
        <f>Tabela2[[#This Row],[Nome curto]]</f>
        <v>CPC62023</v>
      </c>
      <c r="E48" s="43">
        <f>Tabela2[[#This Row],[Nº curso]]</f>
        <v>194</v>
      </c>
      <c r="F48" s="12" t="str">
        <f>'Controle adm. dos cursos'!G48</f>
        <v>Paranavaí</v>
      </c>
      <c r="G48" s="43">
        <f>'Controle adm. dos cursos'!H48</f>
        <v>2023</v>
      </c>
      <c r="H48" s="35">
        <v>45195</v>
      </c>
      <c r="I48" s="35">
        <v>45198</v>
      </c>
      <c r="J48" s="36">
        <v>16</v>
      </c>
      <c r="K48" s="12" t="s">
        <v>242</v>
      </c>
      <c r="L48" s="37" t="s">
        <v>243</v>
      </c>
      <c r="M48" s="37" t="s">
        <v>329</v>
      </c>
      <c r="N48" s="38">
        <v>19</v>
      </c>
      <c r="O48" s="38">
        <v>19</v>
      </c>
      <c r="P48" s="38">
        <v>19</v>
      </c>
      <c r="Q48" s="39">
        <f>IFERROR((Tabela3[[#This Row],[Aprovados]]*100)/Tabela3[[#This Row],[Matriculados]],0)</f>
        <v>100</v>
      </c>
      <c r="R48" s="40">
        <v>0</v>
      </c>
      <c r="S48" s="40">
        <v>0</v>
      </c>
      <c r="T48" s="40">
        <v>0</v>
      </c>
      <c r="U48" s="40">
        <v>0</v>
      </c>
    </row>
    <row r="49" spans="1:21" ht="30" customHeight="1" x14ac:dyDescent="0.25">
      <c r="A49" s="43">
        <f>Tabela2[[#This Row],[Nº]]</f>
        <v>47</v>
      </c>
      <c r="B49" s="32" t="str">
        <f>Tabela2[[#This Row],[Abrev]]</f>
        <v>RD</v>
      </c>
      <c r="C49" s="11" t="str">
        <f>'Controle adm. dos cursos'!D49</f>
        <v>RISCOS E DESASTRES: conhecimentos fundamentais</v>
      </c>
      <c r="D49" s="43" t="str">
        <f>Tabela2[[#This Row],[Nome curto]]</f>
        <v>RD22023</v>
      </c>
      <c r="E49" s="43">
        <f>Tabela2[[#This Row],[Nº curso]]</f>
        <v>190</v>
      </c>
      <c r="F49" s="12" t="str">
        <f>'Controle adm. dos cursos'!G49</f>
        <v>Turma II 2023</v>
      </c>
      <c r="G49" s="43">
        <f>'Controle adm. dos cursos'!H49</f>
        <v>2023</v>
      </c>
      <c r="H49" s="35">
        <v>45208</v>
      </c>
      <c r="I49" s="35">
        <v>45226</v>
      </c>
      <c r="J49" s="36">
        <v>20</v>
      </c>
      <c r="K49" s="12" t="s">
        <v>244</v>
      </c>
      <c r="L49" s="37" t="s">
        <v>238</v>
      </c>
      <c r="M49" s="37" t="s">
        <v>317</v>
      </c>
      <c r="N49" s="38">
        <v>49</v>
      </c>
      <c r="O49" s="38">
        <v>49</v>
      </c>
      <c r="P49" s="38">
        <v>20</v>
      </c>
      <c r="Q49" s="39">
        <f>IFERROR((Tabela3[[#This Row],[Aprovados]]*100)/Tabela3[[#This Row],[Matriculados]],0)</f>
        <v>40.816326530612244</v>
      </c>
      <c r="R49" s="40">
        <v>4</v>
      </c>
      <c r="S49" s="40">
        <v>1</v>
      </c>
      <c r="T49" s="40">
        <v>24</v>
      </c>
      <c r="U49" s="40">
        <v>0</v>
      </c>
    </row>
    <row r="50" spans="1:21" ht="30" customHeight="1" x14ac:dyDescent="0.25">
      <c r="A50" s="43">
        <f>Tabela2[[#This Row],[Nº]]</f>
        <v>48</v>
      </c>
      <c r="B50" s="32" t="str">
        <f>Tabela2[[#This Row],[Abrev]]</f>
        <v>CBCV</v>
      </c>
      <c r="C50" s="11" t="str">
        <f>'Controle adm. dos cursos'!D50</f>
        <v>Capacitação em Brigadistas Civis Voluntários</v>
      </c>
      <c r="D50" s="43" t="str">
        <f>Tabela2[[#This Row],[Nome curto]]</f>
        <v>CBCVPG2023</v>
      </c>
      <c r="E50" s="43">
        <f>Tabela2[[#This Row],[Nº curso]]</f>
        <v>196</v>
      </c>
      <c r="F50" s="12" t="str">
        <f>'Controle adm. dos cursos'!G50</f>
        <v>TURMA - Ponta Grossa 2023</v>
      </c>
      <c r="G50" s="43">
        <f>'Controle adm. dos cursos'!H50</f>
        <v>2023</v>
      </c>
      <c r="H50" s="35">
        <v>45222</v>
      </c>
      <c r="I50" s="35">
        <v>45233</v>
      </c>
      <c r="J50" s="36">
        <v>40</v>
      </c>
      <c r="K50" s="12" t="s">
        <v>242</v>
      </c>
      <c r="L50" s="37" t="s">
        <v>241</v>
      </c>
      <c r="M50" s="37" t="s">
        <v>329</v>
      </c>
      <c r="N50" s="38">
        <v>1</v>
      </c>
      <c r="O50" s="38">
        <v>1</v>
      </c>
      <c r="P50" s="38">
        <v>0</v>
      </c>
      <c r="Q50" s="39">
        <f>IFERROR((Tabela3[[#This Row],[Aprovados]]*100)/Tabela3[[#This Row],[Matriculados]],0)</f>
        <v>0</v>
      </c>
      <c r="R50" s="40">
        <v>0</v>
      </c>
      <c r="S50" s="40">
        <v>0</v>
      </c>
      <c r="T50" s="40">
        <v>0</v>
      </c>
      <c r="U50" s="40">
        <v>0</v>
      </c>
    </row>
    <row r="51" spans="1:21" ht="30" customHeight="1" x14ac:dyDescent="0.25">
      <c r="A51" s="43">
        <f>Tabela2[[#This Row],[Nº]]</f>
        <v>49</v>
      </c>
      <c r="B51" s="32" t="str">
        <f>Tabela2[[#This Row],[Abrev]]</f>
        <v>SB</v>
      </c>
      <c r="C51" s="11" t="str">
        <f>'Controle adm. dos cursos'!D51</f>
        <v>Segurança de Barragens - Anomalias e Boas Práticas</v>
      </c>
      <c r="D51" s="43" t="str">
        <f>Tabela2[[#This Row],[Nome curto]]</f>
        <v>SBABP12023</v>
      </c>
      <c r="E51" s="43">
        <f>Tabela2[[#This Row],[Nº curso]]</f>
        <v>195</v>
      </c>
      <c r="F51" s="12" t="str">
        <f>'Controle adm. dos cursos'!G51</f>
        <v>Turma I 2023</v>
      </c>
      <c r="G51" s="43">
        <f>'Controle adm. dos cursos'!H51</f>
        <v>2023</v>
      </c>
      <c r="H51" s="35">
        <v>45237</v>
      </c>
      <c r="I51" s="35">
        <v>45257</v>
      </c>
      <c r="J51" s="36">
        <v>2</v>
      </c>
      <c r="K51" s="12" t="s">
        <v>244</v>
      </c>
      <c r="L51" s="37" t="s">
        <v>238</v>
      </c>
      <c r="M51" s="37" t="s">
        <v>409</v>
      </c>
      <c r="N51" s="38">
        <v>159</v>
      </c>
      <c r="O51" s="38">
        <v>159</v>
      </c>
      <c r="P51" s="38">
        <v>83</v>
      </c>
      <c r="Q51" s="39">
        <f>IFERROR((Tabela3[[#This Row],[Aprovados]]*100)/Tabela3[[#This Row],[Matriculados]],0)</f>
        <v>52.20125786163522</v>
      </c>
      <c r="R51" s="40">
        <v>3</v>
      </c>
      <c r="S51" s="40">
        <v>2</v>
      </c>
      <c r="T51" s="40">
        <v>71</v>
      </c>
      <c r="U51" s="40">
        <v>0</v>
      </c>
    </row>
    <row r="52" spans="1:21" ht="30" customHeight="1" x14ac:dyDescent="0.25">
      <c r="A52" s="43">
        <f>Tabela2[[#This Row],[Nº]]</f>
        <v>50</v>
      </c>
      <c r="B52" s="32" t="str">
        <f>Tabela2[[#This Row],[Abrev]]</f>
        <v>SCI</v>
      </c>
      <c r="C52" s="11" t="str">
        <f>'Controle adm. dos cursos'!D52</f>
        <v>Sistema de Comando de Incidentes</v>
      </c>
      <c r="D52" s="43" t="str">
        <f>Tabela2[[#This Row],[Nome curto]]</f>
        <v>sciturma12023</v>
      </c>
      <c r="E52" s="43">
        <f>Tabela2[[#This Row],[Nº curso]]</f>
        <v>191</v>
      </c>
      <c r="F52" s="12" t="str">
        <f>'Controle adm. dos cursos'!G52</f>
        <v>Turma I 2023</v>
      </c>
      <c r="G52" s="43">
        <f>'Controle adm. dos cursos'!H52</f>
        <v>2023</v>
      </c>
      <c r="H52" s="35">
        <v>45250</v>
      </c>
      <c r="I52" s="35">
        <v>45275</v>
      </c>
      <c r="J52" s="36">
        <v>40</v>
      </c>
      <c r="K52" s="12" t="s">
        <v>244</v>
      </c>
      <c r="L52" s="37" t="s">
        <v>238</v>
      </c>
      <c r="M52" s="37" t="s">
        <v>317</v>
      </c>
      <c r="N52" s="38">
        <v>80</v>
      </c>
      <c r="O52" s="38">
        <v>80</v>
      </c>
      <c r="P52" s="38">
        <v>24</v>
      </c>
      <c r="Q52" s="39">
        <f>IFERROR((Tabela3[[#This Row],[Aprovados]]*100)/Tabela3[[#This Row],[Matriculados]],0)</f>
        <v>30</v>
      </c>
      <c r="R52" s="40">
        <v>5</v>
      </c>
      <c r="S52" s="40">
        <v>10</v>
      </c>
      <c r="T52" s="40">
        <v>41</v>
      </c>
      <c r="U52" s="40">
        <v>0</v>
      </c>
    </row>
    <row r="53" spans="1:21" ht="30" customHeight="1" x14ac:dyDescent="0.25">
      <c r="A53" s="43">
        <f>Tabela2[[#This Row],[Nº]]</f>
        <v>51</v>
      </c>
      <c r="B53" s="32" t="str">
        <f>Tabela2[[#This Row],[Abrev]]</f>
        <v>SCI</v>
      </c>
      <c r="C53" s="11" t="str">
        <f>'Controle adm. dos cursos'!D53</f>
        <v>Sistema de Comando de Incidentes</v>
      </c>
      <c r="D53" s="43" t="str">
        <f>Tabela2[[#This Row],[Nome curto]]</f>
        <v>sciturma22023</v>
      </c>
      <c r="E53" s="43">
        <f>Tabela2[[#This Row],[Nº curso]]</f>
        <v>198</v>
      </c>
      <c r="F53" s="12" t="str">
        <f>'Controle adm. dos cursos'!G53</f>
        <v>Turma Legendários</v>
      </c>
      <c r="G53" s="43">
        <f>'Controle adm. dos cursos'!H53</f>
        <v>2023</v>
      </c>
      <c r="H53" s="35">
        <v>45278</v>
      </c>
      <c r="I53" s="35">
        <v>45301</v>
      </c>
      <c r="J53" s="36">
        <v>40</v>
      </c>
      <c r="K53" s="12" t="s">
        <v>242</v>
      </c>
      <c r="L53" s="37" t="s">
        <v>238</v>
      </c>
      <c r="M53" s="37" t="s">
        <v>317</v>
      </c>
      <c r="N53" s="38">
        <v>66</v>
      </c>
      <c r="O53" s="38">
        <v>66</v>
      </c>
      <c r="P53" s="38">
        <v>46</v>
      </c>
      <c r="Q53" s="39">
        <f>IFERROR((Tabela3[[#This Row],[Aprovados]]*100)/Tabela3[[#This Row],[Matriculados]],0)</f>
        <v>69.696969696969703</v>
      </c>
      <c r="R53" s="40">
        <v>3</v>
      </c>
      <c r="S53" s="40">
        <v>0</v>
      </c>
      <c r="T53" s="40">
        <v>17</v>
      </c>
      <c r="U53" s="40">
        <v>0</v>
      </c>
    </row>
    <row r="54" spans="1:21" ht="30" customHeight="1" x14ac:dyDescent="0.25">
      <c r="A54" s="43">
        <f>Tabela2[[#This Row],[Nº]]</f>
        <v>52</v>
      </c>
      <c r="B54" s="32" t="str">
        <f>Tabela2[[#This Row],[Abrev]]</f>
        <v>SCI</v>
      </c>
      <c r="C54" s="11" t="str">
        <f>'Controle adm. dos cursos'!D54</f>
        <v>Sistema de Comando de Incidentes</v>
      </c>
      <c r="D54" s="43" t="str">
        <f>Tabela2[[#This Row],[Nome curto]]</f>
        <v>SCI12024</v>
      </c>
      <c r="E54" s="43">
        <f>Tabela2[[#This Row],[Nº curso]]</f>
        <v>200</v>
      </c>
      <c r="F54" s="12" t="str">
        <f>'Controle adm. dos cursos'!G54</f>
        <v>II Legendários</v>
      </c>
      <c r="G54" s="43">
        <f>'Controle adm. dos cursos'!H54</f>
        <v>2024</v>
      </c>
      <c r="H54" s="35">
        <v>45278</v>
      </c>
      <c r="I54" s="35">
        <v>45301</v>
      </c>
      <c r="J54" s="36">
        <v>40</v>
      </c>
      <c r="K54" s="12" t="s">
        <v>242</v>
      </c>
      <c r="L54" s="37" t="s">
        <v>238</v>
      </c>
      <c r="M54" s="37" t="s">
        <v>317</v>
      </c>
      <c r="N54" s="38">
        <v>73</v>
      </c>
      <c r="O54" s="38">
        <v>73</v>
      </c>
      <c r="P54" s="38">
        <v>30</v>
      </c>
      <c r="Q54" s="39">
        <f>IFERROR((Tabela3[[#This Row],[Aprovados]]*100)/Tabela3[[#This Row],[Matriculados]],0)</f>
        <v>41.095890410958901</v>
      </c>
      <c r="R54" s="40">
        <v>4</v>
      </c>
      <c r="S54" s="40">
        <v>5</v>
      </c>
      <c r="T54" s="40">
        <v>34</v>
      </c>
      <c r="U54" s="40">
        <v>0</v>
      </c>
    </row>
    <row r="55" spans="1:21" ht="30" customHeight="1" x14ac:dyDescent="0.25">
      <c r="A55" s="43">
        <f>Tabela2[[#This Row],[Nº]]</f>
        <v>53</v>
      </c>
      <c r="B55" s="32" t="str">
        <f>Tabela2[[#This Row],[Abrev]]</f>
        <v>SCI</v>
      </c>
      <c r="C55" s="11" t="str">
        <f>'Controle adm. dos cursos'!D55</f>
        <v>Sistema de Comando de Incidentes</v>
      </c>
      <c r="D55" s="43" t="str">
        <f>Tabela2[[#This Row],[Nome curto]]</f>
        <v>SCI22024</v>
      </c>
      <c r="E55" s="43">
        <f>Tabela2[[#This Row],[Nº curso]]</f>
        <v>201</v>
      </c>
      <c r="F55" s="12" t="str">
        <f>'Controle adm. dos cursos'!G55</f>
        <v>UFPR</v>
      </c>
      <c r="G55" s="43">
        <f>'Controle adm. dos cursos'!H55</f>
        <v>2024</v>
      </c>
      <c r="H55" s="35">
        <v>45377</v>
      </c>
      <c r="I55" s="35">
        <v>45405</v>
      </c>
      <c r="J55" s="36">
        <v>40</v>
      </c>
      <c r="K55" s="12" t="s">
        <v>242</v>
      </c>
      <c r="L55" s="37" t="s">
        <v>238</v>
      </c>
      <c r="M55" s="37" t="s">
        <v>317</v>
      </c>
      <c r="N55" s="38">
        <v>10</v>
      </c>
      <c r="O55" s="38">
        <v>10</v>
      </c>
      <c r="P55" s="38">
        <v>2</v>
      </c>
      <c r="Q55" s="39">
        <f>IFERROR((Tabela3[[#This Row],[Aprovados]]*100)/Tabela3[[#This Row],[Matriculados]],0)</f>
        <v>20</v>
      </c>
      <c r="R55" s="40">
        <v>1</v>
      </c>
      <c r="S55" s="40">
        <v>0</v>
      </c>
      <c r="T55" s="40">
        <v>7</v>
      </c>
      <c r="U55" s="40">
        <v>0</v>
      </c>
    </row>
    <row r="56" spans="1:21" ht="30" customHeight="1" x14ac:dyDescent="0.25">
      <c r="A56" s="43">
        <f>Tabela2[[#This Row],[Nº]]</f>
        <v>54</v>
      </c>
      <c r="B56" s="32" t="str">
        <f>Tabela2[[#This Row],[Abrev]]</f>
        <v>SCI</v>
      </c>
      <c r="C56" s="11" t="str">
        <f>'Controle adm. dos cursos'!D56</f>
        <v>Sistema de Comando de Incidentes</v>
      </c>
      <c r="D56" s="43" t="str">
        <f>Tabela2[[#This Row],[Nome curto]]</f>
        <v>SCI42024</v>
      </c>
      <c r="E56" s="43">
        <f>Tabela2[[#This Row],[Nº curso]]</f>
        <v>208</v>
      </c>
      <c r="F56" s="12" t="str">
        <f>'Controle adm. dos cursos'!G56</f>
        <v>IBAMA</v>
      </c>
      <c r="G56" s="43">
        <f>'Controle adm. dos cursos'!H56</f>
        <v>2024</v>
      </c>
      <c r="H56" s="35">
        <v>45405</v>
      </c>
      <c r="I56" s="35">
        <v>45429</v>
      </c>
      <c r="J56" s="36">
        <v>40</v>
      </c>
      <c r="K56" s="12" t="s">
        <v>242</v>
      </c>
      <c r="L56" s="37" t="s">
        <v>238</v>
      </c>
      <c r="M56" s="37" t="s">
        <v>317</v>
      </c>
      <c r="N56" s="38">
        <v>10</v>
      </c>
      <c r="O56" s="38">
        <v>10</v>
      </c>
      <c r="P56" s="38">
        <v>7</v>
      </c>
      <c r="Q56" s="39">
        <f>IFERROR((Tabela3[[#This Row],[Aprovados]]*100)/Tabela3[[#This Row],[Matriculados]],0)</f>
        <v>70</v>
      </c>
      <c r="R56" s="40">
        <v>0</v>
      </c>
      <c r="S56" s="40">
        <v>0</v>
      </c>
      <c r="T56" s="40">
        <v>3</v>
      </c>
      <c r="U56" s="40">
        <v>0</v>
      </c>
    </row>
    <row r="57" spans="1:21" ht="30" customHeight="1" x14ac:dyDescent="0.25">
      <c r="A57" s="43">
        <f>Tabela2[[#This Row],[Nº]]</f>
        <v>55</v>
      </c>
      <c r="B57" s="32" t="str">
        <f>Tabela2[[#This Row],[Abrev]]</f>
        <v>SCI</v>
      </c>
      <c r="C57" s="11" t="str">
        <f>'Controle adm. dos cursos'!D57</f>
        <v>Sistema de Comando de Incidentes</v>
      </c>
      <c r="D57" s="43" t="str">
        <f>Tabela2[[#This Row],[Nome curto]]</f>
        <v>SCI52024</v>
      </c>
      <c r="E57" s="43">
        <f>Tabela2[[#This Row],[Nº curso]]</f>
        <v>209</v>
      </c>
      <c r="F57" s="12" t="str">
        <f>'Controle adm. dos cursos'!G57</f>
        <v>III Legendários</v>
      </c>
      <c r="G57" s="43">
        <f>'Controle adm. dos cursos'!H57</f>
        <v>2024</v>
      </c>
      <c r="H57" s="35">
        <v>45407</v>
      </c>
      <c r="I57" s="35">
        <v>45422</v>
      </c>
      <c r="J57" s="36">
        <v>40</v>
      </c>
      <c r="K57" s="12" t="s">
        <v>242</v>
      </c>
      <c r="L57" s="37" t="s">
        <v>238</v>
      </c>
      <c r="M57" s="37" t="s">
        <v>317</v>
      </c>
      <c r="N57" s="38">
        <v>80</v>
      </c>
      <c r="O57" s="38">
        <v>80</v>
      </c>
      <c r="P57" s="38">
        <v>31</v>
      </c>
      <c r="Q57" s="39">
        <f>IFERROR((Tabela3[[#This Row],[Aprovados]]*100)/Tabela3[[#This Row],[Matriculados]],0)</f>
        <v>38.75</v>
      </c>
      <c r="R57" s="40">
        <v>5</v>
      </c>
      <c r="S57" s="40">
        <v>5</v>
      </c>
      <c r="T57" s="40">
        <v>39</v>
      </c>
      <c r="U57" s="40">
        <v>0</v>
      </c>
    </row>
    <row r="58" spans="1:21" ht="30" customHeight="1" x14ac:dyDescent="0.25">
      <c r="A58" s="43">
        <f>Tabela2[[#This Row],[Nº]]</f>
        <v>56</v>
      </c>
      <c r="B58" s="32" t="str">
        <f>Tabela2[[#This Row],[Abrev]]</f>
        <v>EE</v>
      </c>
      <c r="C58" s="11" t="str">
        <f>'Controle adm. dos cursos'!D58</f>
        <v>Atendimento de Emergências em Edificações</v>
      </c>
      <c r="D58" s="43" t="str">
        <f>Tabela2[[#This Row],[Nome curto]]</f>
        <v>EE12024</v>
      </c>
      <c r="E58" s="43">
        <f>Tabela2[[#This Row],[Nº curso]]</f>
        <v>205</v>
      </c>
      <c r="F58" s="12" t="str">
        <f>'Controle adm. dos cursos'!G58</f>
        <v>UNESPAR</v>
      </c>
      <c r="G58" s="43">
        <f>'Controle adm. dos cursos'!H58</f>
        <v>2024</v>
      </c>
      <c r="H58" s="35">
        <v>45411</v>
      </c>
      <c r="I58" s="35">
        <v>45436</v>
      </c>
      <c r="J58" s="36">
        <v>40</v>
      </c>
      <c r="K58" s="12" t="s">
        <v>242</v>
      </c>
      <c r="L58" s="37" t="s">
        <v>238</v>
      </c>
      <c r="M58" s="37" t="s">
        <v>317</v>
      </c>
      <c r="N58" s="38">
        <v>38</v>
      </c>
      <c r="O58" s="38">
        <v>38</v>
      </c>
      <c r="P58" s="38">
        <v>20</v>
      </c>
      <c r="Q58" s="39">
        <f>IFERROR((Tabela3[[#This Row],[Aprovados]]*100)/Tabela3[[#This Row],[Matriculados]],0)</f>
        <v>52.631578947368418</v>
      </c>
      <c r="R58" s="40">
        <v>0</v>
      </c>
      <c r="S58" s="40">
        <v>0</v>
      </c>
      <c r="T58" s="40">
        <v>18</v>
      </c>
      <c r="U58" s="40">
        <v>0</v>
      </c>
    </row>
    <row r="59" spans="1:21" ht="30" customHeight="1" x14ac:dyDescent="0.25">
      <c r="A59" s="43">
        <f>Tabela2[[#This Row],[Nº]]</f>
        <v>57</v>
      </c>
      <c r="B59" s="32" t="str">
        <f>Tabela2[[#This Row],[Abrev]]</f>
        <v>REER</v>
      </c>
      <c r="C59" s="11" t="str">
        <f>'Controle adm. dos cursos'!D59</f>
        <v>Conhecimentos Básicos para Integrantes da Rede Estadual de Emergência de Radioamadores</v>
      </c>
      <c r="D59" s="43" t="str">
        <f>Tabela2[[#This Row],[Nome curto]]</f>
        <v>REER12024</v>
      </c>
      <c r="E59" s="43">
        <f>Tabela2[[#This Row],[Nº curso]]</f>
        <v>210</v>
      </c>
      <c r="F59" s="12" t="str">
        <f>'Controle adm. dos cursos'!G59</f>
        <v>I Supervisores</v>
      </c>
      <c r="G59" s="43">
        <f>'Controle adm. dos cursos'!H59</f>
        <v>2024</v>
      </c>
      <c r="H59" s="35">
        <v>45411</v>
      </c>
      <c r="I59" s="35">
        <v>45426</v>
      </c>
      <c r="J59" s="36">
        <v>15</v>
      </c>
      <c r="K59" s="12" t="s">
        <v>237</v>
      </c>
      <c r="L59" s="37" t="s">
        <v>238</v>
      </c>
      <c r="M59" s="37" t="s">
        <v>317</v>
      </c>
      <c r="N59" s="38">
        <v>39</v>
      </c>
      <c r="O59" s="38">
        <v>39</v>
      </c>
      <c r="P59" s="38">
        <v>39</v>
      </c>
      <c r="Q59" s="39">
        <f>IFERROR((Tabela3[[#This Row],[Aprovados]]*100)/Tabela3[[#This Row],[Matriculados]],0)</f>
        <v>100</v>
      </c>
      <c r="R59" s="40">
        <v>0</v>
      </c>
      <c r="S59" s="40">
        <v>0</v>
      </c>
      <c r="T59" s="40">
        <v>0</v>
      </c>
      <c r="U59" s="40">
        <v>0</v>
      </c>
    </row>
    <row r="60" spans="1:21" ht="30" customHeight="1" x14ac:dyDescent="0.25">
      <c r="A60" s="43">
        <f>Tabela2[[#This Row],[Nº]]</f>
        <v>58</v>
      </c>
      <c r="B60" s="32" t="str">
        <f>Tabela2[[#This Row],[Abrev]]</f>
        <v>CFGM</v>
      </c>
      <c r="C60" s="11" t="str">
        <f>'Controle adm. dos cursos'!D60</f>
        <v>Conhecimentos Fundamentais para Gestores Municipais de Proteção e Defesa Civil</v>
      </c>
      <c r="D60" s="43" t="str">
        <f>Tabela2[[#This Row],[Nome curto]]</f>
        <v>CFGMPDC12024</v>
      </c>
      <c r="E60" s="43">
        <f>Tabela2[[#This Row],[Nº curso]]</f>
        <v>207</v>
      </c>
      <c r="F60" s="12" t="str">
        <f>'Controle adm. dos cursos'!G60</f>
        <v>I 2024</v>
      </c>
      <c r="G60" s="43">
        <f>'Controle adm. dos cursos'!H60</f>
        <v>2024</v>
      </c>
      <c r="H60" s="35">
        <v>45412</v>
      </c>
      <c r="I60" s="35">
        <v>45422</v>
      </c>
      <c r="J60" s="36">
        <v>8</v>
      </c>
      <c r="K60" s="12" t="s">
        <v>244</v>
      </c>
      <c r="L60" s="37" t="s">
        <v>238</v>
      </c>
      <c r="M60" s="37" t="s">
        <v>317</v>
      </c>
      <c r="N60" s="38">
        <v>44</v>
      </c>
      <c r="O60" s="38">
        <v>44</v>
      </c>
      <c r="P60" s="38">
        <v>11</v>
      </c>
      <c r="Q60" s="39">
        <f>IFERROR((Tabela3[[#This Row],[Aprovados]]*100)/Tabela3[[#This Row],[Matriculados]],0)</f>
        <v>25</v>
      </c>
      <c r="R60" s="40">
        <v>1</v>
      </c>
      <c r="S60" s="40">
        <v>0</v>
      </c>
      <c r="T60" s="40">
        <v>32</v>
      </c>
      <c r="U60" s="40">
        <v>0</v>
      </c>
    </row>
    <row r="61" spans="1:21" ht="30" customHeight="1" x14ac:dyDescent="0.25">
      <c r="A61" s="43">
        <f>Tabela2[[#This Row],[Nº]]</f>
        <v>59</v>
      </c>
      <c r="B61" s="32" t="str">
        <f>Tabela2[[#This Row],[Abrev]]</f>
        <v>SCI</v>
      </c>
      <c r="C61" s="11" t="str">
        <f>'Controle adm. dos cursos'!D61</f>
        <v>Sistema de Comando de Incidentes</v>
      </c>
      <c r="D61" s="43" t="str">
        <f>Tabela2[[#This Row],[Nome curto]]</f>
        <v>SCI32024</v>
      </c>
      <c r="E61" s="43">
        <f>Tabela2[[#This Row],[Nº curso]]</f>
        <v>204</v>
      </c>
      <c r="F61" s="12" t="str">
        <f>'Controle adm. dos cursos'!G61</f>
        <v>COSMO</v>
      </c>
      <c r="G61" s="43">
        <f>'Controle adm. dos cursos'!H61</f>
        <v>2024</v>
      </c>
      <c r="H61" s="35">
        <v>45446</v>
      </c>
      <c r="I61" s="35">
        <v>45467</v>
      </c>
      <c r="J61" s="36">
        <v>40</v>
      </c>
      <c r="K61" s="12" t="s">
        <v>242</v>
      </c>
      <c r="L61" s="37" t="s">
        <v>238</v>
      </c>
      <c r="M61" s="37" t="s">
        <v>317</v>
      </c>
      <c r="N61" s="38">
        <v>29</v>
      </c>
      <c r="O61" s="38">
        <v>29</v>
      </c>
      <c r="P61" s="38">
        <v>21</v>
      </c>
      <c r="Q61" s="39">
        <f>IFERROR((Tabela3[[#This Row],[Aprovados]]*100)/Tabela3[[#This Row],[Matriculados]],0)</f>
        <v>72.41379310344827</v>
      </c>
      <c r="R61" s="40">
        <v>1</v>
      </c>
      <c r="S61" s="40">
        <v>1</v>
      </c>
      <c r="T61" s="40">
        <v>6</v>
      </c>
      <c r="U61" s="40">
        <v>0</v>
      </c>
    </row>
    <row r="62" spans="1:21" ht="30" customHeight="1" x14ac:dyDescent="0.25">
      <c r="A62" s="43">
        <f>Tabela2[[#This Row],[Nº]]</f>
        <v>60</v>
      </c>
      <c r="B62" s="32" t="str">
        <f>Tabela2[[#This Row],[Abrev]]</f>
        <v>SCI</v>
      </c>
      <c r="C62" s="11" t="str">
        <f>'Controle adm. dos cursos'!D62</f>
        <v>Sistema de Comando de Incidentes</v>
      </c>
      <c r="D62" s="43" t="str">
        <f>Tabela2[[#This Row],[Nome curto]]</f>
        <v>SCI72024</v>
      </c>
      <c r="E62" s="43">
        <f>Tabela2[[#This Row],[Nº curso]]</f>
        <v>213</v>
      </c>
      <c r="F62" s="12" t="str">
        <f>'Controle adm. dos cursos'!G62</f>
        <v>CRMV</v>
      </c>
      <c r="G62" s="43">
        <f>'Controle adm. dos cursos'!H62</f>
        <v>2024</v>
      </c>
      <c r="H62" s="35">
        <v>45446</v>
      </c>
      <c r="I62" s="35">
        <v>45467</v>
      </c>
      <c r="J62" s="36">
        <v>40</v>
      </c>
      <c r="K62" s="12" t="s">
        <v>242</v>
      </c>
      <c r="L62" s="37" t="s">
        <v>238</v>
      </c>
      <c r="M62" s="37" t="s">
        <v>317</v>
      </c>
      <c r="N62" s="38">
        <v>167</v>
      </c>
      <c r="O62" s="38">
        <v>167</v>
      </c>
      <c r="P62" s="38">
        <v>50</v>
      </c>
      <c r="Q62" s="39">
        <f>IFERROR((Tabela3[[#This Row],[Aprovados]]*100)/Tabela3[[#This Row],[Matriculados]],0)</f>
        <v>29.940119760479043</v>
      </c>
      <c r="R62" s="40">
        <v>4</v>
      </c>
      <c r="S62" s="40">
        <v>10</v>
      </c>
      <c r="T62" s="40">
        <v>103</v>
      </c>
      <c r="U62" s="40">
        <v>0</v>
      </c>
    </row>
    <row r="63" spans="1:21" ht="30" customHeight="1" x14ac:dyDescent="0.25">
      <c r="A63" s="43">
        <f>Tabela2[[#This Row],[Nº]]</f>
        <v>61</v>
      </c>
      <c r="B63" s="32" t="str">
        <f>Tabela2[[#This Row],[Abrev]]</f>
        <v>SCI</v>
      </c>
      <c r="C63" s="11" t="str">
        <f>'Controle adm. dos cursos'!D63</f>
        <v>Sistema de Comando de Incidentes</v>
      </c>
      <c r="D63" s="43" t="str">
        <f>Tabela2[[#This Row],[Nome curto]]</f>
        <v>SCI62024</v>
      </c>
      <c r="E63" s="43">
        <f>Tabela2[[#This Row],[Nº curso]]</f>
        <v>212</v>
      </c>
      <c r="F63" s="12" t="str">
        <f>'Controle adm. dos cursos'!G63</f>
        <v>IAT</v>
      </c>
      <c r="G63" s="43">
        <f>'Controle adm. dos cursos'!H63</f>
        <v>2024</v>
      </c>
      <c r="H63" s="35">
        <v>45454</v>
      </c>
      <c r="I63" s="35">
        <v>45474</v>
      </c>
      <c r="J63" s="36">
        <v>40</v>
      </c>
      <c r="K63" s="12" t="s">
        <v>242</v>
      </c>
      <c r="L63" s="37" t="s">
        <v>238</v>
      </c>
      <c r="M63" s="37" t="s">
        <v>317</v>
      </c>
      <c r="N63" s="38">
        <v>6</v>
      </c>
      <c r="O63" s="38">
        <v>6</v>
      </c>
      <c r="P63" s="38">
        <v>2</v>
      </c>
      <c r="Q63" s="39">
        <f>IFERROR((Tabela3[[#This Row],[Aprovados]]*100)/Tabela3[[#This Row],[Matriculados]],0)</f>
        <v>33.333333333333336</v>
      </c>
      <c r="R63" s="40">
        <v>0</v>
      </c>
      <c r="S63" s="40">
        <v>0</v>
      </c>
      <c r="T63" s="40">
        <v>4</v>
      </c>
      <c r="U63" s="40">
        <v>0</v>
      </c>
    </row>
    <row r="64" spans="1:21" ht="30" customHeight="1" x14ac:dyDescent="0.25">
      <c r="A64" s="43">
        <f>Tabela2[[#This Row],[Nº]]</f>
        <v>62</v>
      </c>
      <c r="B64" s="32" t="str">
        <f>Tabela2[[#This Row],[Abrev]]</f>
        <v>REER</v>
      </c>
      <c r="C64" s="11" t="str">
        <f>'Controle adm. dos cursos'!D64</f>
        <v>Conhecimentos Básicos para Integrantes da Rede Estadual de Emergência de Radioamadores</v>
      </c>
      <c r="D64" s="43" t="str">
        <f>Tabela2[[#This Row],[Nome curto]]</f>
        <v>REER22024</v>
      </c>
      <c r="E64" s="43">
        <f>Tabela2[[#This Row],[Nº curso]]</f>
        <v>216</v>
      </c>
      <c r="F64" s="12" t="str">
        <f>'Controle adm. dos cursos'!G64</f>
        <v>II Adjuntos</v>
      </c>
      <c r="G64" s="43">
        <f>'Controle adm. dos cursos'!H64</f>
        <v>2024</v>
      </c>
      <c r="H64" s="35">
        <v>45460</v>
      </c>
      <c r="I64" s="35">
        <v>45482</v>
      </c>
      <c r="J64" s="36">
        <v>15</v>
      </c>
      <c r="K64" s="12" t="s">
        <v>242</v>
      </c>
      <c r="L64" s="37" t="s">
        <v>238</v>
      </c>
      <c r="M64" s="37" t="s">
        <v>317</v>
      </c>
      <c r="N64" s="38">
        <v>43</v>
      </c>
      <c r="O64" s="38">
        <v>43</v>
      </c>
      <c r="P64" s="38">
        <v>34</v>
      </c>
      <c r="Q64" s="39">
        <f>IFERROR((Tabela3[[#This Row],[Aprovados]]*100)/Tabela3[[#This Row],[Matriculados]],0)</f>
        <v>79.069767441860463</v>
      </c>
      <c r="R64" s="40">
        <v>1</v>
      </c>
      <c r="S64" s="40">
        <v>8</v>
      </c>
      <c r="T64" s="40">
        <v>0</v>
      </c>
      <c r="U64" s="40">
        <v>0</v>
      </c>
    </row>
    <row r="65" spans="1:21" ht="30" customHeight="1" x14ac:dyDescent="0.25">
      <c r="A65" s="43">
        <f>Tabela2[[#This Row],[Nº]]</f>
        <v>63</v>
      </c>
      <c r="B65" s="32" t="str">
        <f>Tabela2[[#This Row],[Abrev]]</f>
        <v>FBEMS</v>
      </c>
      <c r="C65" s="11" t="str">
        <f>'Controle adm. dos cursos'!D65</f>
        <v>Formação de Brigadistas Escolares e Monitores de Segurança</v>
      </c>
      <c r="D65" s="43" t="str">
        <f>Tabela2[[#This Row],[Nome curto]]</f>
        <v>CFBE12024</v>
      </c>
      <c r="E65" s="43">
        <f>Tabela2[[#This Row],[Nº curso]]</f>
        <v>206</v>
      </c>
      <c r="F65" s="12" t="str">
        <f>'Controle adm. dos cursos'!G65</f>
        <v>I 2024</v>
      </c>
      <c r="G65" s="43">
        <f>'Controle adm. dos cursos'!H65</f>
        <v>2024</v>
      </c>
      <c r="H65" s="35">
        <v>45474</v>
      </c>
      <c r="I65" s="35">
        <v>45534</v>
      </c>
      <c r="J65" s="36">
        <v>80</v>
      </c>
      <c r="K65" s="12" t="s">
        <v>242</v>
      </c>
      <c r="L65" s="37" t="s">
        <v>238</v>
      </c>
      <c r="M65" s="37" t="s">
        <v>324</v>
      </c>
      <c r="N65" s="38">
        <v>7111</v>
      </c>
      <c r="O65" s="38">
        <v>7111</v>
      </c>
      <c r="P65" s="38">
        <v>5860</v>
      </c>
      <c r="Q65" s="39">
        <f>IFERROR((Tabela3[[#This Row],[Aprovados]]*100)/Tabela3[[#This Row],[Matriculados]],0)</f>
        <v>82.407537617775276</v>
      </c>
      <c r="R65" s="40">
        <v>347</v>
      </c>
      <c r="S65" s="40">
        <v>187</v>
      </c>
      <c r="T65" s="40">
        <v>717</v>
      </c>
      <c r="U65" s="40">
        <v>0</v>
      </c>
    </row>
    <row r="66" spans="1:21" ht="30" customHeight="1" x14ac:dyDescent="0.25">
      <c r="A66" s="43">
        <f>Tabela2[[#This Row],[Nº]]</f>
        <v>64</v>
      </c>
      <c r="B66" s="32" t="str">
        <f>Tabela2[[#This Row],[Abrev]]</f>
        <v>CCFADC</v>
      </c>
      <c r="C66" s="11" t="str">
        <f>'Controle adm. dos cursos'!D66</f>
        <v>Capacitação e Conhecimentos Fundamentais para Atividades de Defesa Civil </v>
      </c>
      <c r="D66" s="43" t="str">
        <f>Tabela2[[#This Row],[Nome curto]]</f>
        <v>CCFADC12024</v>
      </c>
      <c r="E66" s="43">
        <f>Tabela2[[#This Row],[Nº curso]]</f>
        <v>211</v>
      </c>
      <c r="F66" s="12" t="str">
        <f>'Controle adm. dos cursos'!G66</f>
        <v>CMEIV 2024</v>
      </c>
      <c r="G66" s="43">
        <f>'Controle adm. dos cursos'!H66</f>
        <v>2024</v>
      </c>
      <c r="H66" s="35">
        <v>45475</v>
      </c>
      <c r="I66" s="35">
        <v>45488</v>
      </c>
      <c r="J66" s="36">
        <v>28</v>
      </c>
      <c r="K66" s="12" t="s">
        <v>242</v>
      </c>
      <c r="L66" s="37" t="s">
        <v>238</v>
      </c>
      <c r="M66" s="37" t="s">
        <v>317</v>
      </c>
      <c r="N66" s="38">
        <v>25</v>
      </c>
      <c r="O66" s="38">
        <v>25</v>
      </c>
      <c r="P66" s="38">
        <v>25</v>
      </c>
      <c r="Q66" s="39">
        <f>IFERROR((Tabela3[[#This Row],[Aprovados]]*100)/Tabela3[[#This Row],[Matriculados]],0)</f>
        <v>100</v>
      </c>
      <c r="R66" s="40">
        <v>0</v>
      </c>
      <c r="S66" s="40">
        <v>0</v>
      </c>
      <c r="T66" s="40">
        <v>0</v>
      </c>
      <c r="U66" s="40">
        <v>0</v>
      </c>
    </row>
    <row r="67" spans="1:21" ht="30" customHeight="1" x14ac:dyDescent="0.25">
      <c r="A67" s="43">
        <f>Tabela2[[#This Row],[Nº]]</f>
        <v>65</v>
      </c>
      <c r="B67" s="32" t="str">
        <f>Tabela2[[#This Row],[Abrev]]</f>
        <v>SCI</v>
      </c>
      <c r="C67" s="11" t="str">
        <f>'Controle adm. dos cursos'!D67</f>
        <v>Sistema de Comando de Incidentes</v>
      </c>
      <c r="D67" s="43" t="str">
        <f>Tabela2[[#This Row],[Nome curto]]</f>
        <v>SCI92024</v>
      </c>
      <c r="E67" s="43">
        <f>Tabela2[[#This Row],[Nº curso]]</f>
        <v>218</v>
      </c>
      <c r="F67" s="12" t="str">
        <f>'Controle adm. dos cursos'!G67</f>
        <v>COSMO II</v>
      </c>
      <c r="G67" s="43">
        <f>'Controle adm. dos cursos'!H67</f>
        <v>2024</v>
      </c>
      <c r="H67" s="35">
        <v>45476</v>
      </c>
      <c r="I67" s="35">
        <v>45497</v>
      </c>
      <c r="J67" s="36">
        <v>40</v>
      </c>
      <c r="K67" s="12" t="s">
        <v>242</v>
      </c>
      <c r="L67" s="37" t="s">
        <v>238</v>
      </c>
      <c r="M67" s="37" t="s">
        <v>317</v>
      </c>
      <c r="N67" s="38">
        <v>16</v>
      </c>
      <c r="O67" s="38">
        <v>16</v>
      </c>
      <c r="P67" s="38">
        <v>6</v>
      </c>
      <c r="Q67" s="39">
        <f>IFERROR((Tabela3[[#This Row],[Aprovados]]*100)/Tabela3[[#This Row],[Matriculados]],0)</f>
        <v>37.5</v>
      </c>
      <c r="R67" s="40">
        <v>1</v>
      </c>
      <c r="S67" s="40">
        <v>9</v>
      </c>
      <c r="T67" s="40">
        <v>0</v>
      </c>
      <c r="U67" s="40">
        <v>0</v>
      </c>
    </row>
    <row r="68" spans="1:21" ht="30" customHeight="1" x14ac:dyDescent="0.25">
      <c r="A68" s="43">
        <f>Tabela2[[#This Row],[Nº]]</f>
        <v>66</v>
      </c>
      <c r="B68" s="32" t="str">
        <f>Tabela2[[#This Row],[Abrev]]</f>
        <v>EE</v>
      </c>
      <c r="C68" s="11" t="str">
        <f>'Controle adm. dos cursos'!D68</f>
        <v>Atendimento de Emergências em Edificações</v>
      </c>
      <c r="D68" s="43" t="str">
        <f>Tabela2[[#This Row],[Nome curto]]</f>
        <v>EE22024</v>
      </c>
      <c r="E68" s="43">
        <f>Tabela2[[#This Row],[Nº curso]]</f>
        <v>217</v>
      </c>
      <c r="F68" s="12" t="str">
        <f>'Controle adm. dos cursos'!G68</f>
        <v>SESP</v>
      </c>
      <c r="G68" s="43">
        <f>'Controle adm. dos cursos'!H68</f>
        <v>2024</v>
      </c>
      <c r="H68" s="35">
        <v>45488</v>
      </c>
      <c r="I68" s="35">
        <v>45517</v>
      </c>
      <c r="J68" s="36">
        <v>49</v>
      </c>
      <c r="K68" s="12" t="s">
        <v>242</v>
      </c>
      <c r="L68" s="37" t="s">
        <v>241</v>
      </c>
      <c r="M68" s="37" t="s">
        <v>326</v>
      </c>
      <c r="N68" s="38">
        <v>35</v>
      </c>
      <c r="O68" s="38">
        <v>35</v>
      </c>
      <c r="P68" s="38">
        <v>17</v>
      </c>
      <c r="Q68" s="39">
        <f>IFERROR((Tabela3[[#This Row],[Aprovados]]*100)/Tabela3[[#This Row],[Matriculados]],0)</f>
        <v>48.571428571428569</v>
      </c>
      <c r="R68" s="40">
        <v>1</v>
      </c>
      <c r="S68" s="40">
        <v>1</v>
      </c>
      <c r="T68" s="40">
        <v>5</v>
      </c>
      <c r="U68" s="40">
        <v>0</v>
      </c>
    </row>
    <row r="69" spans="1:21" ht="30" customHeight="1" x14ac:dyDescent="0.25">
      <c r="A69" s="43">
        <f>Tabela2[[#This Row],[Nº]]</f>
        <v>67</v>
      </c>
      <c r="B69" s="32" t="str">
        <f>Tabela2[[#This Row],[Abrev]]</f>
        <v>SCI</v>
      </c>
      <c r="C69" s="11" t="str">
        <f>'Controle adm. dos cursos'!D69</f>
        <v>Sistema de Comando de Incidentes</v>
      </c>
      <c r="D69" s="43" t="str">
        <f>Tabela2[[#This Row],[Nome curto]]</f>
        <v>SCI82024</v>
      </c>
      <c r="E69" s="43">
        <f>Tabela2[[#This Row],[Nº curso]]</f>
        <v>215</v>
      </c>
      <c r="F69" s="12" t="str">
        <f>'Controle adm. dos cursos'!G69</f>
        <v>7º GB</v>
      </c>
      <c r="G69" s="43">
        <f>'Controle adm. dos cursos'!H69</f>
        <v>2024</v>
      </c>
      <c r="H69" s="35">
        <v>45490</v>
      </c>
      <c r="I69" s="35">
        <v>45511</v>
      </c>
      <c r="J69" s="36">
        <v>40</v>
      </c>
      <c r="K69" s="12" t="s">
        <v>242</v>
      </c>
      <c r="L69" s="37" t="s">
        <v>238</v>
      </c>
      <c r="M69" s="37" t="s">
        <v>317</v>
      </c>
      <c r="N69" s="38">
        <v>63</v>
      </c>
      <c r="O69" s="38">
        <v>63</v>
      </c>
      <c r="P69" s="38">
        <v>23</v>
      </c>
      <c r="Q69" s="39">
        <f>IFERROR((Tabela3[[#This Row],[Aprovados]]*100)/Tabela3[[#This Row],[Matriculados]],0)</f>
        <v>36.507936507936506</v>
      </c>
      <c r="R69" s="40">
        <v>9</v>
      </c>
      <c r="S69" s="40">
        <v>3</v>
      </c>
      <c r="T69" s="40">
        <v>28</v>
      </c>
      <c r="U69" s="40">
        <v>0</v>
      </c>
    </row>
    <row r="70" spans="1:21" ht="30" customHeight="1" x14ac:dyDescent="0.25">
      <c r="A70" s="43">
        <f>Tabela2[[#This Row],[Nº]]</f>
        <v>68</v>
      </c>
      <c r="B70" s="32" t="str">
        <f>Tabela2[[#This Row],[Abrev]]</f>
        <v>CBCV</v>
      </c>
      <c r="C70" s="11" t="str">
        <f>'Controle adm. dos cursos'!D70</f>
        <v>Capacitação em Brigadistas Civis Voluntários</v>
      </c>
      <c r="D70" s="43" t="str">
        <f>Tabela2[[#This Row],[Nome curto]]</f>
        <v>CBCV12024</v>
      </c>
      <c r="E70" s="43">
        <f>Tabela2[[#This Row],[Nº curso]]</f>
        <v>219</v>
      </c>
      <c r="F70" s="12" t="str">
        <f>'Controle adm. dos cursos'!G70</f>
        <v>RMC - 2024</v>
      </c>
      <c r="G70" s="43">
        <f>'Controle adm. dos cursos'!H70</f>
        <v>2024</v>
      </c>
      <c r="H70" s="35">
        <v>45502</v>
      </c>
      <c r="I70" s="35">
        <v>45537</v>
      </c>
      <c r="J70" s="36">
        <v>40</v>
      </c>
      <c r="K70" s="12" t="s">
        <v>242</v>
      </c>
      <c r="L70" s="37" t="s">
        <v>241</v>
      </c>
      <c r="M70" s="37" t="s">
        <v>317</v>
      </c>
      <c r="N70" s="38">
        <v>75</v>
      </c>
      <c r="O70" s="38">
        <v>75</v>
      </c>
      <c r="P70" s="38">
        <v>9</v>
      </c>
      <c r="Q70" s="39">
        <f>IFERROR((Tabela3[[#This Row],[Aprovados]]*100)/Tabela3[[#This Row],[Matriculados]],0)</f>
        <v>12</v>
      </c>
      <c r="R70" s="40">
        <v>0</v>
      </c>
      <c r="S70" s="40">
        <v>38</v>
      </c>
      <c r="T70" s="40">
        <v>28</v>
      </c>
      <c r="U70" s="40">
        <v>0</v>
      </c>
    </row>
    <row r="71" spans="1:21" ht="30" customHeight="1" x14ac:dyDescent="0.25">
      <c r="A71" s="43">
        <f>Tabela2[[#This Row],[Nº]]</f>
        <v>69</v>
      </c>
      <c r="B71" s="32" t="str">
        <f>Tabela2[[#This Row],[Abrev]]</f>
        <v>SCI</v>
      </c>
      <c r="C71" s="11" t="str">
        <f>'Controle adm. dos cursos'!D71</f>
        <v>Sistema de Comando de Incidentes</v>
      </c>
      <c r="D71" s="43" t="str">
        <f>Tabela2[[#This Row],[Nome curto]]</f>
        <v>SCI102024</v>
      </c>
      <c r="E71" s="43">
        <f>Tabela2[[#This Row],[Nº curso]]</f>
        <v>220</v>
      </c>
      <c r="F71" s="12" t="str">
        <f>'Controle adm. dos cursos'!G71</f>
        <v>Legendários - Pato Branco</v>
      </c>
      <c r="G71" s="43">
        <f>'Controle adm. dos cursos'!H71</f>
        <v>2024</v>
      </c>
      <c r="H71" s="35">
        <v>45505</v>
      </c>
      <c r="I71" s="35">
        <v>45537</v>
      </c>
      <c r="J71" s="36">
        <v>40</v>
      </c>
      <c r="K71" s="12" t="s">
        <v>242</v>
      </c>
      <c r="L71" s="37" t="s">
        <v>238</v>
      </c>
      <c r="M71" s="37" t="s">
        <v>317</v>
      </c>
      <c r="N71" s="38">
        <v>32</v>
      </c>
      <c r="O71" s="38">
        <v>32</v>
      </c>
      <c r="P71" s="38">
        <v>18</v>
      </c>
      <c r="Q71" s="39">
        <f>IFERROR((Tabela3[[#This Row],[Aprovados]]*100)/Tabela3[[#This Row],[Matriculados]],0)</f>
        <v>56.25</v>
      </c>
      <c r="R71" s="40">
        <v>1</v>
      </c>
      <c r="S71" s="40">
        <v>3</v>
      </c>
      <c r="T71" s="40">
        <v>10</v>
      </c>
      <c r="U71" s="40">
        <v>0</v>
      </c>
    </row>
    <row r="72" spans="1:21" ht="30" customHeight="1" x14ac:dyDescent="0.25">
      <c r="A72" s="43">
        <f>Tabela2[[#This Row],[Nº]]</f>
        <v>70</v>
      </c>
      <c r="B72" s="32" t="str">
        <f>Tabela2[[#This Row],[Abrev]]</f>
        <v>SCI</v>
      </c>
      <c r="C72" s="11" t="str">
        <f>'Controle adm. dos cursos'!D72</f>
        <v>Sistema de Comando de Incidentes</v>
      </c>
      <c r="D72" s="43" t="str">
        <f>Tabela2[[#This Row],[Nome curto]]</f>
        <v>SCI132024</v>
      </c>
      <c r="E72" s="43">
        <f>Tabela2[[#This Row],[Nº curso]]</f>
        <v>224</v>
      </c>
      <c r="F72" s="12" t="str">
        <f>'Controle adm. dos cursos'!G72</f>
        <v>Clube Paranaese de Montanhismo</v>
      </c>
      <c r="G72" s="43">
        <f>'Controle adm. dos cursos'!H72</f>
        <v>2024</v>
      </c>
      <c r="H72" s="35">
        <v>45529</v>
      </c>
      <c r="I72" s="35">
        <v>45560</v>
      </c>
      <c r="J72" s="36">
        <v>40</v>
      </c>
      <c r="K72" s="12" t="s">
        <v>242</v>
      </c>
      <c r="L72" s="37" t="s">
        <v>238</v>
      </c>
      <c r="M72" s="37" t="s">
        <v>317</v>
      </c>
      <c r="N72" s="38">
        <v>12</v>
      </c>
      <c r="O72" s="38">
        <v>12</v>
      </c>
      <c r="P72" s="38">
        <v>7</v>
      </c>
      <c r="Q72" s="39">
        <f>IFERROR((Tabela3[[#This Row],[Aprovados]]*100)/Tabela3[[#This Row],[Matriculados]],0)</f>
        <v>58.333333333333336</v>
      </c>
      <c r="R72" s="40">
        <v>0</v>
      </c>
      <c r="S72" s="40">
        <v>1</v>
      </c>
      <c r="T72" s="40">
        <v>4</v>
      </c>
      <c r="U72" s="40">
        <v>0</v>
      </c>
    </row>
    <row r="73" spans="1:21" ht="30" customHeight="1" x14ac:dyDescent="0.25">
      <c r="A73" s="43">
        <f>Tabela2[[#This Row],[Nº]]</f>
        <v>71</v>
      </c>
      <c r="B73" s="32" t="str">
        <f>Tabela2[[#This Row],[Abrev]]</f>
        <v>SCI</v>
      </c>
      <c r="C73" s="11" t="str">
        <f>'Controle adm. dos cursos'!D73</f>
        <v>Sistema de Comando de Incidentes</v>
      </c>
      <c r="D73" s="43" t="str">
        <f>Tabela2[[#This Row],[Nome curto]]</f>
        <v>SCI112024</v>
      </c>
      <c r="E73" s="43">
        <f>Tabela2[[#This Row],[Nº curso]]</f>
        <v>221</v>
      </c>
      <c r="F73" s="12" t="str">
        <f>'Controle adm. dos cursos'!G73</f>
        <v>ADAPAR - 2024</v>
      </c>
      <c r="G73" s="43">
        <f>'Controle adm. dos cursos'!H73</f>
        <v>2024</v>
      </c>
      <c r="H73" s="35">
        <v>45544</v>
      </c>
      <c r="I73" s="35">
        <v>45575</v>
      </c>
      <c r="J73" s="36">
        <v>40</v>
      </c>
      <c r="K73" s="12" t="s">
        <v>242</v>
      </c>
      <c r="L73" s="37" t="s">
        <v>238</v>
      </c>
      <c r="M73" s="37" t="s">
        <v>317</v>
      </c>
      <c r="N73" s="38">
        <v>66</v>
      </c>
      <c r="O73" s="38">
        <v>66</v>
      </c>
      <c r="P73" s="38">
        <v>41</v>
      </c>
      <c r="Q73" s="39">
        <f>IFERROR((Tabela3[[#This Row],[Aprovados]]*100)/Tabela3[[#This Row],[Matriculados]],0)</f>
        <v>62.121212121212125</v>
      </c>
      <c r="R73" s="40">
        <v>4</v>
      </c>
      <c r="S73" s="40">
        <v>3</v>
      </c>
      <c r="T73" s="40">
        <v>18</v>
      </c>
      <c r="U73" s="40">
        <v>0</v>
      </c>
    </row>
    <row r="74" spans="1:21" ht="30" customHeight="1" x14ac:dyDescent="0.25">
      <c r="A74" s="43">
        <f>Tabela2[[#This Row],[Nº]]</f>
        <v>72</v>
      </c>
      <c r="B74" s="32" t="str">
        <f>Tabela2[[#This Row],[Abrev]]</f>
        <v>SCI</v>
      </c>
      <c r="C74" s="11" t="str">
        <f>'Controle adm. dos cursos'!D74</f>
        <v>Sistema de Comando de Incidentes</v>
      </c>
      <c r="D74" s="43" t="str">
        <f>Tabela2[[#This Row],[Nome curto]]</f>
        <v>SCI142024</v>
      </c>
      <c r="E74" s="43">
        <f>Tabela2[[#This Row],[Nº curso]]</f>
        <v>225</v>
      </c>
      <c r="F74" s="12" t="str">
        <f>'Controle adm. dos cursos'!G74</f>
        <v>II 7º GB</v>
      </c>
      <c r="G74" s="43">
        <f>'Controle adm. dos cursos'!H74</f>
        <v>2024</v>
      </c>
      <c r="H74" s="35">
        <v>45547</v>
      </c>
      <c r="I74" s="35">
        <v>45565</v>
      </c>
      <c r="J74" s="36">
        <v>40</v>
      </c>
      <c r="K74" s="12" t="s">
        <v>242</v>
      </c>
      <c r="L74" s="37" t="s">
        <v>238</v>
      </c>
      <c r="M74" s="37" t="s">
        <v>317</v>
      </c>
      <c r="N74" s="38">
        <v>19</v>
      </c>
      <c r="O74" s="38">
        <v>19</v>
      </c>
      <c r="P74" s="38">
        <v>6</v>
      </c>
      <c r="Q74" s="39">
        <f>IFERROR((Tabela3[[#This Row],[Aprovados]]*100)/Tabela3[[#This Row],[Matriculados]],0)</f>
        <v>31.578947368421051</v>
      </c>
      <c r="R74" s="40">
        <v>1</v>
      </c>
      <c r="S74" s="40">
        <v>1</v>
      </c>
      <c r="T74" s="40">
        <v>11</v>
      </c>
      <c r="U74" s="40">
        <v>0</v>
      </c>
    </row>
    <row r="75" spans="1:21" ht="30" customHeight="1" x14ac:dyDescent="0.25">
      <c r="A75" s="43">
        <f>Tabela2[[#This Row],[Nº]]</f>
        <v>73</v>
      </c>
      <c r="B75" s="32" t="str">
        <f>Tabela2[[#This Row],[Abrev]]</f>
        <v>CADC</v>
      </c>
      <c r="C75" s="11" t="str">
        <f>'Controle adm. dos cursos'!D75</f>
        <v>Capacitação de Agentes de Defesa Civil</v>
      </c>
      <c r="D75" s="43" t="str">
        <f>Tabela2[[#This Row],[Nome curto]]</f>
        <v>CADC12024</v>
      </c>
      <c r="E75" s="43">
        <f>Tabela2[[#This Row],[Nº curso]]</f>
        <v>228</v>
      </c>
      <c r="F75" s="12" t="str">
        <f>'Controle adm. dos cursos'!G75</f>
        <v>I 2024</v>
      </c>
      <c r="G75" s="43">
        <f>'Controle adm. dos cursos'!H75</f>
        <v>2024</v>
      </c>
      <c r="H75" s="35">
        <v>45551</v>
      </c>
      <c r="I75" s="35">
        <v>45596</v>
      </c>
      <c r="J75" s="36">
        <v>131</v>
      </c>
      <c r="K75" s="12" t="s">
        <v>242</v>
      </c>
      <c r="L75" s="37" t="s">
        <v>238</v>
      </c>
      <c r="M75" s="37" t="s">
        <v>317</v>
      </c>
      <c r="N75" s="38">
        <v>18</v>
      </c>
      <c r="O75" s="38">
        <v>18</v>
      </c>
      <c r="P75" s="38">
        <v>10</v>
      </c>
      <c r="Q75" s="39">
        <f>IFERROR((Tabela3[[#This Row],[Aprovados]]*100)/Tabela3[[#This Row],[Matriculados]],0)</f>
        <v>55.555555555555557</v>
      </c>
      <c r="R75" s="40">
        <v>6</v>
      </c>
      <c r="S75" s="40">
        <v>0</v>
      </c>
      <c r="T75" s="40">
        <v>2</v>
      </c>
      <c r="U75" s="40">
        <v>0</v>
      </c>
    </row>
    <row r="76" spans="1:21" ht="30" customHeight="1" x14ac:dyDescent="0.25">
      <c r="A76" s="43">
        <f>Tabela2[[#This Row],[Nº]]</f>
        <v>74</v>
      </c>
      <c r="B76" s="32" t="str">
        <f>Tabela2[[#This Row],[Abrev]]</f>
        <v>SCI</v>
      </c>
      <c r="C76" s="11" t="str">
        <f>'Controle adm. dos cursos'!D76</f>
        <v>Sistema de Comando de Incidentes</v>
      </c>
      <c r="D76" s="43" t="str">
        <f>Tabela2[[#This Row],[Nome curto]]</f>
        <v>SCI152024</v>
      </c>
      <c r="E76" s="43">
        <f>Tabela2[[#This Row],[Nº curso]]</f>
        <v>226</v>
      </c>
      <c r="F76" s="12" t="str">
        <f>'Controle adm. dos cursos'!G76</f>
        <v>5ª CORPDEC</v>
      </c>
      <c r="G76" s="43">
        <f>'Controle adm. dos cursos'!H76</f>
        <v>2024</v>
      </c>
      <c r="H76" s="35">
        <v>45551</v>
      </c>
      <c r="I76" s="35">
        <v>45569</v>
      </c>
      <c r="J76" s="36">
        <v>40</v>
      </c>
      <c r="K76" s="12" t="s">
        <v>242</v>
      </c>
      <c r="L76" s="37" t="s">
        <v>238</v>
      </c>
      <c r="M76" s="37" t="s">
        <v>317</v>
      </c>
      <c r="N76" s="38">
        <v>63</v>
      </c>
      <c r="O76" s="38">
        <v>63</v>
      </c>
      <c r="P76" s="38">
        <v>29</v>
      </c>
      <c r="Q76" s="39">
        <f>IFERROR((Tabela3[[#This Row],[Aprovados]]*100)/Tabela3[[#This Row],[Matriculados]],0)</f>
        <v>46.031746031746032</v>
      </c>
      <c r="R76" s="40">
        <v>1</v>
      </c>
      <c r="S76" s="40">
        <v>4</v>
      </c>
      <c r="T76" s="40">
        <v>29</v>
      </c>
      <c r="U76" s="40">
        <v>0</v>
      </c>
    </row>
    <row r="77" spans="1:21" ht="30" customHeight="1" x14ac:dyDescent="0.25">
      <c r="A77" s="43">
        <f>Tabela2[[#This Row],[Nº]]</f>
        <v>75</v>
      </c>
      <c r="B77" s="32" t="str">
        <f>Tabela2[[#This Row],[Abrev]]</f>
        <v>SCI</v>
      </c>
      <c r="C77" s="11" t="str">
        <f>'Controle adm. dos cursos'!D77</f>
        <v>Sistema de Comando de Incidentes</v>
      </c>
      <c r="D77" s="43" t="str">
        <f>Tabela2[[#This Row],[Nome curto]]</f>
        <v>SCI162024</v>
      </c>
      <c r="E77" s="43">
        <f>Tabela2[[#This Row],[Nº curso]]</f>
        <v>229</v>
      </c>
      <c r="F77" s="12" t="str">
        <f>'Controle adm. dos cursos'!G77</f>
        <v>LEC/UFPR</v>
      </c>
      <c r="G77" s="43">
        <f>'Controle adm. dos cursos'!H77</f>
        <v>2024</v>
      </c>
      <c r="H77" s="35">
        <v>45558</v>
      </c>
      <c r="I77" s="35">
        <v>45628</v>
      </c>
      <c r="J77" s="36">
        <v>40</v>
      </c>
      <c r="K77" s="12" t="s">
        <v>242</v>
      </c>
      <c r="L77" s="37" t="s">
        <v>238</v>
      </c>
      <c r="M77" s="37" t="s">
        <v>317</v>
      </c>
      <c r="N77" s="38">
        <v>48</v>
      </c>
      <c r="O77" s="38">
        <v>48</v>
      </c>
      <c r="P77" s="38">
        <v>42</v>
      </c>
      <c r="Q77" s="39">
        <f>IFERROR((Tabela3[[#This Row],[Aprovados]]*100)/Tabela3[[#This Row],[Matriculados]],0)</f>
        <v>87.5</v>
      </c>
      <c r="R77" s="40">
        <v>0</v>
      </c>
      <c r="S77" s="40">
        <v>0</v>
      </c>
      <c r="T77" s="40">
        <v>6</v>
      </c>
      <c r="U77" s="40">
        <v>0</v>
      </c>
    </row>
    <row r="78" spans="1:21" ht="30" customHeight="1" x14ac:dyDescent="0.25">
      <c r="A78" s="43">
        <f>Tabela2[[#This Row],[Nº]]</f>
        <v>76</v>
      </c>
      <c r="B78" s="32" t="str">
        <f>Tabela2[[#This Row],[Abrev]]</f>
        <v>CIARP</v>
      </c>
      <c r="C78" s="11" t="str">
        <f>'Controle adm. dos cursos'!D78</f>
        <v>Curso Introdutório de Aeronaves Remotamente Pilotadas</v>
      </c>
      <c r="D78" s="43" t="str">
        <f>Tabela2[[#This Row],[Nome curto]]</f>
        <v>CIARP12024</v>
      </c>
      <c r="E78" s="43">
        <f>Tabela2[[#This Row],[Nº curso]]</f>
        <v>227</v>
      </c>
      <c r="F78" s="12" t="str">
        <f>'Controle adm. dos cursos'!G78</f>
        <v>I - IAT</v>
      </c>
      <c r="G78" s="43">
        <f>'Controle adm. dos cursos'!H78</f>
        <v>2024</v>
      </c>
      <c r="H78" s="35">
        <v>45566</v>
      </c>
      <c r="I78" s="35">
        <v>45573</v>
      </c>
      <c r="J78" s="36">
        <v>16</v>
      </c>
      <c r="K78" s="12" t="s">
        <v>242</v>
      </c>
      <c r="L78" s="37" t="s">
        <v>241</v>
      </c>
      <c r="M78" s="37" t="s">
        <v>329</v>
      </c>
      <c r="N78" s="38">
        <v>13</v>
      </c>
      <c r="O78" s="38">
        <v>13</v>
      </c>
      <c r="P78" s="38">
        <v>13</v>
      </c>
      <c r="Q78" s="39">
        <f>IFERROR((Tabela3[[#This Row],[Aprovados]]*100)/Tabela3[[#This Row],[Matriculados]],0)</f>
        <v>100</v>
      </c>
      <c r="R78" s="40">
        <v>0</v>
      </c>
      <c r="S78" s="40">
        <v>0</v>
      </c>
      <c r="T78" s="40">
        <v>0</v>
      </c>
      <c r="U78" s="40">
        <v>0</v>
      </c>
    </row>
    <row r="79" spans="1:21" ht="30" customHeight="1" x14ac:dyDescent="0.25">
      <c r="A79" s="43">
        <f>Tabela2[[#This Row],[Nº]]</f>
        <v>77</v>
      </c>
      <c r="B79" s="32" t="str">
        <f>Tabela2[[#This Row],[Abrev]]</f>
        <v>SCI</v>
      </c>
      <c r="C79" s="11" t="str">
        <f>'Controle adm. dos cursos'!D79</f>
        <v>Sistema de Comando de Incidentes</v>
      </c>
      <c r="D79" s="43" t="str">
        <f>Tabela2[[#This Row],[Nome curto]]</f>
        <v>SCI122024</v>
      </c>
      <c r="E79" s="43">
        <f>Tabela2[[#This Row],[Nº curso]]</f>
        <v>223</v>
      </c>
      <c r="F79" s="12" t="str">
        <f>'Controle adm. dos cursos'!G79</f>
        <v>Legendários - Norte do Paraná</v>
      </c>
      <c r="G79" s="43">
        <f>'Controle adm. dos cursos'!H79</f>
        <v>2024</v>
      </c>
      <c r="H79" s="35">
        <v>45573</v>
      </c>
      <c r="I79" s="35">
        <v>45610</v>
      </c>
      <c r="J79" s="36">
        <v>40</v>
      </c>
      <c r="K79" s="12" t="s">
        <v>242</v>
      </c>
      <c r="L79" s="37" t="s">
        <v>238</v>
      </c>
      <c r="M79" s="37" t="s">
        <v>317</v>
      </c>
      <c r="N79" s="38">
        <v>217</v>
      </c>
      <c r="O79" s="38">
        <v>217</v>
      </c>
      <c r="P79" s="38">
        <v>49</v>
      </c>
      <c r="Q79" s="39">
        <f>IFERROR((Tabela3[[#This Row],[Aprovados]]*100)/Tabela3[[#This Row],[Matriculados]],0)</f>
        <v>22.580645161290324</v>
      </c>
      <c r="R79" s="40">
        <v>13</v>
      </c>
      <c r="S79" s="40">
        <v>7</v>
      </c>
      <c r="T79" s="40">
        <v>95</v>
      </c>
      <c r="U79" s="40">
        <v>0</v>
      </c>
    </row>
    <row r="80" spans="1:21" ht="30" customHeight="1" x14ac:dyDescent="0.25">
      <c r="A80" s="43">
        <f>Tabela2[[#This Row],[Nº]]</f>
        <v>78</v>
      </c>
      <c r="B80" s="32" t="str">
        <f>Tabela2[[#This Row],[Abrev]]</f>
        <v>CBCM</v>
      </c>
      <c r="C80" s="11" t="str">
        <f>'Controle adm. dos cursos'!D80</f>
        <v>Capacitação de Brigadistas Civis Municipais</v>
      </c>
      <c r="D80" s="43" t="str">
        <f>Tabela2[[#This Row],[Nome curto]]</f>
        <v>CBCM12024</v>
      </c>
      <c r="E80" s="43">
        <f>Tabela2[[#This Row],[Nº curso]]</f>
        <v>231</v>
      </c>
      <c r="F80" s="12" t="str">
        <f>'Controle adm. dos cursos'!G80</f>
        <v>I 2024</v>
      </c>
      <c r="G80" s="43">
        <f>'Controle adm. dos cursos'!H80</f>
        <v>2024</v>
      </c>
      <c r="H80" s="35">
        <v>45573</v>
      </c>
      <c r="I80" s="35">
        <v>45639</v>
      </c>
      <c r="J80" s="36">
        <v>16</v>
      </c>
      <c r="K80" s="12" t="s">
        <v>242</v>
      </c>
      <c r="L80" s="37" t="s">
        <v>243</v>
      </c>
      <c r="M80" s="128" t="s">
        <v>330</v>
      </c>
      <c r="N80" s="38">
        <v>239</v>
      </c>
      <c r="O80" s="38">
        <v>239</v>
      </c>
      <c r="P80" s="38">
        <v>239</v>
      </c>
      <c r="Q80" s="39">
        <f>IFERROR((Tabela3[[#This Row],[Aprovados]]*100)/Tabela3[[#This Row],[Matriculados]],0)</f>
        <v>100</v>
      </c>
      <c r="R80" s="40">
        <v>0</v>
      </c>
      <c r="S80" s="40">
        <v>0</v>
      </c>
      <c r="T80" s="40">
        <v>0</v>
      </c>
      <c r="U80" s="40">
        <v>0</v>
      </c>
    </row>
    <row r="81" spans="1:21" ht="28.5" x14ac:dyDescent="0.25">
      <c r="A81" s="43">
        <f>Tabela2[[#This Row],[Nº]]</f>
        <v>79</v>
      </c>
      <c r="B81" s="32" t="str">
        <f>Tabela2[[#This Row],[Abrev]]</f>
        <v>SCI</v>
      </c>
      <c r="C81" s="11" t="str">
        <f>'Controle adm. dos cursos'!D81</f>
        <v>Sistema de Comando de Incidentes</v>
      </c>
      <c r="D81" s="43" t="str">
        <f>Tabela2[[#This Row],[Nome curto]]</f>
        <v>SCI172024</v>
      </c>
      <c r="E81" s="43">
        <f>Tabela2[[#This Row],[Nº curso]]</f>
        <v>230</v>
      </c>
      <c r="F81" s="12" t="str">
        <f>'Controle adm. dos cursos'!G81</f>
        <v>Marinha do Brasil</v>
      </c>
      <c r="G81" s="43">
        <f>'Controle adm. dos cursos'!H81</f>
        <v>2024</v>
      </c>
      <c r="H81" s="35">
        <v>45586</v>
      </c>
      <c r="I81" s="35">
        <v>45604</v>
      </c>
      <c r="J81" s="36">
        <v>40</v>
      </c>
      <c r="K81" s="12" t="s">
        <v>242</v>
      </c>
      <c r="L81" s="37" t="s">
        <v>238</v>
      </c>
      <c r="M81" s="37" t="s">
        <v>317</v>
      </c>
      <c r="N81" s="38">
        <v>8</v>
      </c>
      <c r="O81" s="38">
        <v>8</v>
      </c>
      <c r="P81" s="38">
        <v>5</v>
      </c>
      <c r="Q81" s="39">
        <f>IFERROR((Tabela3[[#This Row],[Aprovados]]*100)/Tabela3[[#This Row],[Matriculados]],0)</f>
        <v>62.5</v>
      </c>
      <c r="R81" s="40">
        <v>0</v>
      </c>
      <c r="S81" s="40">
        <v>2</v>
      </c>
      <c r="T81" s="40">
        <v>1</v>
      </c>
      <c r="U81" s="40">
        <v>0</v>
      </c>
    </row>
    <row r="82" spans="1:21" ht="30" customHeight="1" x14ac:dyDescent="0.25">
      <c r="A82" s="43">
        <f>Tabela2[[#This Row],[Nº]]</f>
        <v>80</v>
      </c>
      <c r="B82" s="32" t="str">
        <f>Tabela2[[#This Row],[Abrev]]</f>
        <v>SCI</v>
      </c>
      <c r="C82" s="11" t="str">
        <f>'Controle adm. dos cursos'!D82</f>
        <v>Sistema de Comando de Incidentes</v>
      </c>
      <c r="D82" s="43" t="str">
        <f>Tabela2[[#This Row],[Nome curto]]</f>
        <v>SCI182024</v>
      </c>
      <c r="E82" s="43">
        <f>Tabela2[[#This Row],[Nº curso]]</f>
        <v>232</v>
      </c>
      <c r="F82" s="12" t="str">
        <f>'Controle adm. dos cursos'!G82</f>
        <v>Brigadistas Civis Municipais</v>
      </c>
      <c r="G82" s="43">
        <f>'Controle adm. dos cursos'!H82</f>
        <v>2024</v>
      </c>
      <c r="H82" s="35">
        <v>45586</v>
      </c>
      <c r="I82" s="35">
        <v>45639</v>
      </c>
      <c r="J82" s="36">
        <v>40</v>
      </c>
      <c r="K82" s="12" t="s">
        <v>242</v>
      </c>
      <c r="L82" s="37" t="s">
        <v>238</v>
      </c>
      <c r="M82" s="37" t="s">
        <v>317</v>
      </c>
      <c r="N82" s="38">
        <v>31</v>
      </c>
      <c r="O82" s="38">
        <v>31</v>
      </c>
      <c r="P82" s="38">
        <v>11</v>
      </c>
      <c r="Q82" s="39">
        <f>IFERROR((Tabela3[[#This Row],[Aprovados]]*100)/Tabela3[[#This Row],[Matriculados]],0)</f>
        <v>35.483870967741936</v>
      </c>
      <c r="R82" s="40">
        <v>4</v>
      </c>
      <c r="S82" s="40">
        <v>2</v>
      </c>
      <c r="T82" s="40">
        <v>14</v>
      </c>
      <c r="U82" s="40">
        <v>0</v>
      </c>
    </row>
    <row r="83" spans="1:21" ht="30" customHeight="1" x14ac:dyDescent="0.25">
      <c r="A83" s="43">
        <f>Tabela2[[#This Row],[Nº]]</f>
        <v>81</v>
      </c>
      <c r="B83" s="32" t="str">
        <f>Tabela2[[#This Row],[Abrev]]</f>
        <v>CIARP</v>
      </c>
      <c r="C83" s="11" t="str">
        <f>'Controle adm. dos cursos'!D83</f>
        <v>Curso Introdutório de Aeronaves Remotamente Pilotadas</v>
      </c>
      <c r="D83" s="43" t="str">
        <f>Tabela2[[#This Row],[Nome curto]]</f>
        <v>CIARP22024</v>
      </c>
      <c r="E83" s="43">
        <f>Tabela2[[#This Row],[Nº curso]]</f>
        <v>233</v>
      </c>
      <c r="F83" s="12" t="str">
        <f>'Controle adm. dos cursos'!G83</f>
        <v>II - SEDEST</v>
      </c>
      <c r="G83" s="43">
        <f>'Controle adm. dos cursos'!H83</f>
        <v>2024</v>
      </c>
      <c r="H83" s="35">
        <v>45593</v>
      </c>
      <c r="I83" s="35">
        <v>45601</v>
      </c>
      <c r="J83" s="36">
        <v>16</v>
      </c>
      <c r="K83" s="12" t="s">
        <v>242</v>
      </c>
      <c r="L83" s="37" t="s">
        <v>241</v>
      </c>
      <c r="M83" s="37" t="s">
        <v>329</v>
      </c>
      <c r="N83" s="38">
        <v>5</v>
      </c>
      <c r="O83" s="38">
        <v>5</v>
      </c>
      <c r="P83" s="38">
        <v>5</v>
      </c>
      <c r="Q83" s="39">
        <f>IFERROR((Tabela3[[#This Row],[Aprovados]]*100)/Tabela3[[#This Row],[Matriculados]],0)</f>
        <v>100</v>
      </c>
      <c r="R83" s="40">
        <v>0</v>
      </c>
      <c r="S83" s="40">
        <v>0</v>
      </c>
      <c r="T83" s="40">
        <v>0</v>
      </c>
      <c r="U83" s="40">
        <v>0</v>
      </c>
    </row>
    <row r="84" spans="1:21" ht="30" customHeight="1" x14ac:dyDescent="0.25">
      <c r="A84" s="43">
        <f>Tabela2[[#This Row],[Nº]]</f>
        <v>82</v>
      </c>
      <c r="B84" s="32" t="str">
        <f>Tabela2[[#This Row],[Abrev]]</f>
        <v>CIARP</v>
      </c>
      <c r="C84" s="11" t="str">
        <f>'Controle adm. dos cursos'!D84</f>
        <v>Curso Introdutório de Aeronaves Remotamente Pilotadas</v>
      </c>
      <c r="D84" s="43" t="str">
        <f>Tabela2[[#This Row],[Nome curto]]</f>
        <v>CIARP32024</v>
      </c>
      <c r="E84" s="43">
        <f>Tabela2[[#This Row],[Nº curso]]</f>
        <v>234</v>
      </c>
      <c r="F84" s="12" t="str">
        <f>'Controle adm. dos cursos'!G84</f>
        <v>III - SECOM</v>
      </c>
      <c r="G84" s="43">
        <f>'Controle adm. dos cursos'!H84</f>
        <v>2024</v>
      </c>
      <c r="H84" s="35">
        <v>45593</v>
      </c>
      <c r="I84" s="35">
        <v>45601</v>
      </c>
      <c r="J84" s="36">
        <v>16</v>
      </c>
      <c r="K84" s="12" t="s">
        <v>242</v>
      </c>
      <c r="L84" s="37" t="s">
        <v>241</v>
      </c>
      <c r="M84" s="37" t="s">
        <v>329</v>
      </c>
      <c r="N84" s="38">
        <v>11</v>
      </c>
      <c r="O84" s="38">
        <v>11</v>
      </c>
      <c r="P84" s="38">
        <v>10</v>
      </c>
      <c r="Q84" s="39">
        <f>IFERROR((Tabela3[[#This Row],[Aprovados]]*100)/Tabela3[[#This Row],[Matriculados]],0)</f>
        <v>90.909090909090907</v>
      </c>
      <c r="R84" s="40">
        <v>0</v>
      </c>
      <c r="S84" s="40">
        <v>0</v>
      </c>
      <c r="T84" s="40">
        <v>1</v>
      </c>
      <c r="U84" s="40">
        <v>0</v>
      </c>
    </row>
    <row r="85" spans="1:21" ht="30" customHeight="1" x14ac:dyDescent="0.25">
      <c r="A85" s="43">
        <f>Tabela2[[#This Row],[Nº]]</f>
        <v>83</v>
      </c>
      <c r="B85" s="32" t="str">
        <f>Tabela2[[#This Row],[Abrev]]</f>
        <v>CADC</v>
      </c>
      <c r="C85" s="11" t="str">
        <f>'Controle adm. dos cursos'!D85</f>
        <v>Capacitação de Agentes de Defesa Civil</v>
      </c>
      <c r="D85" s="43" t="str">
        <f>Tabela2[[#This Row],[Nome curto]]</f>
        <v>CADC22024</v>
      </c>
      <c r="E85" s="43">
        <f>Tabela2[[#This Row],[Nº curso]]</f>
        <v>235</v>
      </c>
      <c r="F85" s="12" t="str">
        <f>'Controle adm. dos cursos'!G85</f>
        <v>II 2024</v>
      </c>
      <c r="G85" s="43">
        <f>'Controle adm. dos cursos'!H85</f>
        <v>2024</v>
      </c>
      <c r="H85" s="35">
        <v>45600</v>
      </c>
      <c r="I85" s="35">
        <v>45625</v>
      </c>
      <c r="J85" s="36">
        <v>131</v>
      </c>
      <c r="K85" s="12" t="s">
        <v>242</v>
      </c>
      <c r="L85" s="37" t="s">
        <v>238</v>
      </c>
      <c r="M85" s="37" t="s">
        <v>317</v>
      </c>
      <c r="N85" s="38">
        <v>3</v>
      </c>
      <c r="O85" s="38">
        <v>3</v>
      </c>
      <c r="P85" s="38">
        <v>3</v>
      </c>
      <c r="Q85" s="39">
        <f>IFERROR((Tabela3[[#This Row],[Aprovados]]*100)/Tabela3[[#This Row],[Matriculados]],0)</f>
        <v>100</v>
      </c>
      <c r="R85" s="40">
        <v>0</v>
      </c>
      <c r="S85" s="40">
        <v>0</v>
      </c>
      <c r="T85" s="40">
        <v>0</v>
      </c>
      <c r="U85" s="40">
        <v>0</v>
      </c>
    </row>
    <row r="86" spans="1:21" ht="30" customHeight="1" x14ac:dyDescent="0.25">
      <c r="A86" s="43">
        <f>Tabela2[[#This Row],[Nº]]</f>
        <v>84</v>
      </c>
      <c r="B86" s="32" t="str">
        <f>Tabela2[[#This Row],[Abrev]]</f>
        <v>CCFADC</v>
      </c>
      <c r="C86" s="11" t="str">
        <f>'Controle adm. dos cursos'!D86</f>
        <v>Capacitação e Conhecimentos Fundamentais para Atividades de Defesa Civil </v>
      </c>
      <c r="D86" s="43" t="str">
        <f>Tabela2[[#This Row],[Nome curto]]</f>
        <v>CCFADC22024</v>
      </c>
      <c r="E86" s="43">
        <f>Tabela2[[#This Row],[Nº curso]]</f>
        <v>236</v>
      </c>
      <c r="F86" s="12" t="str">
        <f>'Controle adm. dos cursos'!G86</f>
        <v>2 CMEIV 2024</v>
      </c>
      <c r="G86" s="43">
        <f>'Controle adm. dos cursos'!H86</f>
        <v>2024</v>
      </c>
      <c r="H86" s="35">
        <v>45622</v>
      </c>
      <c r="I86" s="35">
        <v>45636</v>
      </c>
      <c r="J86" s="36">
        <v>28</v>
      </c>
      <c r="K86" s="12" t="s">
        <v>242</v>
      </c>
      <c r="L86" s="37" t="s">
        <v>238</v>
      </c>
      <c r="M86" s="37" t="s">
        <v>317</v>
      </c>
      <c r="N86" s="38">
        <v>24</v>
      </c>
      <c r="O86" s="38">
        <v>24</v>
      </c>
      <c r="P86" s="38">
        <v>24</v>
      </c>
      <c r="Q86" s="39">
        <f>IFERROR((Tabela3[[#This Row],[Aprovados]]*100)/Tabela3[[#This Row],[Matriculados]],0)</f>
        <v>100</v>
      </c>
      <c r="R86" s="40">
        <v>0</v>
      </c>
      <c r="S86" s="40">
        <v>0</v>
      </c>
      <c r="T86" s="40">
        <v>0</v>
      </c>
      <c r="U86" s="40">
        <v>0</v>
      </c>
    </row>
    <row r="87" spans="1:21" ht="30" customHeight="1" x14ac:dyDescent="0.25">
      <c r="A87" s="43">
        <f>Tabela2[[#This Row],[Nº]]</f>
        <v>85</v>
      </c>
      <c r="B87" s="32" t="str">
        <f>Tabela2[[#This Row],[Abrev]]</f>
        <v>SCI</v>
      </c>
      <c r="C87" s="11" t="str">
        <f>'Controle adm. dos cursos'!D87</f>
        <v>Sistema de Comando de Incidentes</v>
      </c>
      <c r="D87" s="43" t="str">
        <f>Tabela2[[#This Row],[Nome curto]]</f>
        <v>SCI192024</v>
      </c>
      <c r="E87" s="43">
        <f>Tabela2[[#This Row],[Nº curso]]</f>
        <v>237</v>
      </c>
      <c r="F87" s="12" t="str">
        <f>'Controle adm. dos cursos'!G87</f>
        <v>Assistência Social</v>
      </c>
      <c r="G87" s="43">
        <f>'Controle adm. dos cursos'!H87</f>
        <v>2024</v>
      </c>
      <c r="H87" s="35">
        <v>45628</v>
      </c>
      <c r="I87" s="35">
        <v>45645</v>
      </c>
      <c r="J87" s="36">
        <v>40</v>
      </c>
      <c r="K87" s="12" t="s">
        <v>244</v>
      </c>
      <c r="L87" s="37" t="s">
        <v>238</v>
      </c>
      <c r="M87" s="37" t="s">
        <v>317</v>
      </c>
      <c r="N87" s="38">
        <v>25</v>
      </c>
      <c r="O87" s="38">
        <v>25</v>
      </c>
      <c r="P87" s="38">
        <v>9</v>
      </c>
      <c r="Q87" s="39">
        <f>IFERROR((Tabela3[[#This Row],[Aprovados]]*100)/Tabela3[[#This Row],[Matriculados]],0)</f>
        <v>36</v>
      </c>
      <c r="R87" s="40">
        <v>3</v>
      </c>
      <c r="S87" s="40">
        <v>1</v>
      </c>
      <c r="T87" s="40">
        <v>12</v>
      </c>
      <c r="U87" s="40">
        <v>0</v>
      </c>
    </row>
    <row r="88" spans="1:21" ht="30" customHeight="1" x14ac:dyDescent="0.25">
      <c r="A88" s="43">
        <f>Tabela2[[#This Row],[Nº]]</f>
        <v>86</v>
      </c>
      <c r="B88" s="32" t="str">
        <f>Tabela2[[#This Row],[Abrev]]</f>
        <v>SCI</v>
      </c>
      <c r="C88" s="11" t="str">
        <f>'Controle adm. dos cursos'!D88</f>
        <v>Sistema de Comando de Incidentes</v>
      </c>
      <c r="D88" s="43" t="str">
        <f>Tabela2[[#This Row],[Nome curto]]</f>
        <v>SCI202024</v>
      </c>
      <c r="E88" s="43">
        <f>Tabela2[[#This Row],[Nº curso]]</f>
        <v>240</v>
      </c>
      <c r="F88" s="12" t="str">
        <f>'Controle adm. dos cursos'!G88</f>
        <v>1º Seminário Estadual P2R2</v>
      </c>
      <c r="G88" s="43">
        <f>'Controle adm. dos cursos'!H88</f>
        <v>2024</v>
      </c>
      <c r="H88" s="35">
        <v>45635</v>
      </c>
      <c r="I88" s="35">
        <v>45645</v>
      </c>
      <c r="J88" s="36">
        <v>40</v>
      </c>
      <c r="K88" s="12" t="s">
        <v>242</v>
      </c>
      <c r="L88" s="37" t="s">
        <v>238</v>
      </c>
      <c r="M88" s="37" t="s">
        <v>317</v>
      </c>
      <c r="N88" s="38">
        <v>28</v>
      </c>
      <c r="O88" s="38">
        <v>28</v>
      </c>
      <c r="P88" s="38">
        <v>11</v>
      </c>
      <c r="Q88" s="39">
        <f>IFERROR((Tabela3[[#This Row],[Aprovados]]*100)/Tabela3[[#This Row],[Matriculados]],0)</f>
        <v>39.285714285714285</v>
      </c>
      <c r="R88" s="40">
        <v>0</v>
      </c>
      <c r="S88" s="40">
        <v>0</v>
      </c>
      <c r="T88" s="40">
        <v>17</v>
      </c>
      <c r="U88" s="43">
        <v>0</v>
      </c>
    </row>
    <row r="89" spans="1:21" ht="30" customHeight="1" x14ac:dyDescent="0.25">
      <c r="A89" s="43">
        <f>Tabela2[[#This Row],[Nº]]</f>
        <v>87</v>
      </c>
      <c r="B89" s="32" t="str">
        <f>Tabela2[[#This Row],[Abrev]]</f>
        <v>CCFADC</v>
      </c>
      <c r="C89" s="11" t="str">
        <f>'Controle adm. dos cursos'!D89</f>
        <v>Capacitação e Conhecimentos Fundamentais para Atividades de Defesa Civil </v>
      </c>
      <c r="D89" s="43" t="str">
        <f>Tabela2[[#This Row],[Nome curto]]</f>
        <v>CCFADC12025</v>
      </c>
      <c r="E89" s="43">
        <f>Tabela2[[#This Row],[Nº curso]]</f>
        <v>243</v>
      </c>
      <c r="F89" s="12" t="str">
        <f>'Controle adm. dos cursos'!G89</f>
        <v>CMEIV 2025</v>
      </c>
      <c r="G89" s="43">
        <f>'Controle adm. dos cursos'!H89</f>
        <v>2025</v>
      </c>
      <c r="H89" s="35">
        <v>45677</v>
      </c>
      <c r="I89" s="35">
        <v>45684</v>
      </c>
      <c r="J89" s="36">
        <v>28</v>
      </c>
      <c r="K89" s="12" t="s">
        <v>242</v>
      </c>
      <c r="L89" s="37" t="s">
        <v>238</v>
      </c>
      <c r="M89" s="37" t="s">
        <v>317</v>
      </c>
      <c r="N89" s="38">
        <v>1</v>
      </c>
      <c r="O89" s="38">
        <v>1</v>
      </c>
      <c r="P89" s="38">
        <v>1</v>
      </c>
      <c r="Q89" s="39">
        <f>IFERROR((Tabela3[[#This Row],[Aprovados]]*100)/Tabela3[[#This Row],[Matriculados]],0)</f>
        <v>100</v>
      </c>
      <c r="R89" s="40">
        <v>0</v>
      </c>
      <c r="S89" s="40">
        <v>0</v>
      </c>
      <c r="T89" s="40">
        <v>0</v>
      </c>
      <c r="U89" s="43">
        <v>0</v>
      </c>
    </row>
    <row r="90" spans="1:21" ht="30" customHeight="1" x14ac:dyDescent="0.25">
      <c r="A90" s="43">
        <f>Tabela2[[#This Row],[Nº]]</f>
        <v>88</v>
      </c>
      <c r="B90" s="32" t="str">
        <f>Tabela2[[#This Row],[Abrev]]</f>
        <v>CBCV</v>
      </c>
      <c r="C90" s="11" t="str">
        <f>'Controle adm. dos cursos'!D90</f>
        <v>Capacitação em Brigadistas Civis Voluntários</v>
      </c>
      <c r="D90" s="43" t="str">
        <f>Tabela2[[#This Row],[Nome curto]]</f>
        <v>CBCV12025</v>
      </c>
      <c r="E90" s="43">
        <f>Tabela2[[#This Row],[Nº curso]]</f>
        <v>241</v>
      </c>
      <c r="F90" s="12" t="str">
        <f>'Controle adm. dos cursos'!G90</f>
        <v>Indígenas FEM</v>
      </c>
      <c r="G90" s="43">
        <f>'Controle adm. dos cursos'!H90</f>
        <v>2025</v>
      </c>
      <c r="H90" s="35">
        <v>45691</v>
      </c>
      <c r="I90" s="35">
        <v>45726</v>
      </c>
      <c r="J90" s="36">
        <v>40</v>
      </c>
      <c r="K90" s="12" t="s">
        <v>242</v>
      </c>
      <c r="L90" s="37" t="s">
        <v>241</v>
      </c>
      <c r="M90" s="37" t="s">
        <v>317</v>
      </c>
      <c r="N90" s="42">
        <v>2</v>
      </c>
      <c r="O90" s="42">
        <v>2</v>
      </c>
      <c r="P90" s="42">
        <v>0</v>
      </c>
      <c r="Q90" s="39">
        <f>IFERROR((Tabela3[[#This Row],[Aprovados]]*100)/Tabela3[[#This Row],[Matriculados]],0)</f>
        <v>0</v>
      </c>
      <c r="R90" s="43">
        <v>0</v>
      </c>
      <c r="S90" s="43">
        <v>0</v>
      </c>
      <c r="T90" s="43">
        <v>0</v>
      </c>
      <c r="U90" s="43">
        <v>0</v>
      </c>
    </row>
    <row r="91" spans="1:21" ht="30" customHeight="1" x14ac:dyDescent="0.25">
      <c r="A91" s="43">
        <f>Tabela2[[#This Row],[Nº]]</f>
        <v>89</v>
      </c>
      <c r="B91" s="32" t="str">
        <f>Tabela2[[#This Row],[Abrev]]</f>
        <v>CBCV</v>
      </c>
      <c r="C91" s="11" t="str">
        <f>'Controle adm. dos cursos'!D91</f>
        <v>Capacitação em Brigadistas Civis Voluntários</v>
      </c>
      <c r="D91" s="43" t="str">
        <f>Tabela2[[#This Row],[Nome curto]]</f>
        <v>CBCV22025</v>
      </c>
      <c r="E91" s="43">
        <f>Tabela2[[#This Row],[Nº curso]]</f>
        <v>242</v>
      </c>
      <c r="F91" s="12" t="str">
        <f>'Controle adm. dos cursos'!G91</f>
        <v>I 2025</v>
      </c>
      <c r="G91" s="43">
        <f>'Controle adm. dos cursos'!H91</f>
        <v>2025</v>
      </c>
      <c r="H91" s="35">
        <v>45719</v>
      </c>
      <c r="I91" s="35">
        <v>45747</v>
      </c>
      <c r="J91" s="36">
        <v>40</v>
      </c>
      <c r="K91" s="12" t="s">
        <v>242</v>
      </c>
      <c r="L91" s="37" t="s">
        <v>241</v>
      </c>
      <c r="M91" s="37" t="s">
        <v>317</v>
      </c>
      <c r="N91" s="42">
        <v>248</v>
      </c>
      <c r="O91" s="42">
        <v>248</v>
      </c>
      <c r="P91" s="42">
        <v>29</v>
      </c>
      <c r="Q91" s="39">
        <f>IFERROR((Tabela3[[#This Row],[Aprovados]]*100)/Tabela3[[#This Row],[Matriculados]],0)</f>
        <v>11.693548387096774</v>
      </c>
      <c r="R91" s="43"/>
      <c r="S91" s="43"/>
      <c r="T91" s="43"/>
      <c r="U91" s="43"/>
    </row>
    <row r="92" spans="1:21" ht="28.5" x14ac:dyDescent="0.25">
      <c r="A92" s="43">
        <f>Tabela2[[#This Row],[Nº]]</f>
        <v>90</v>
      </c>
      <c r="B92" s="32" t="str">
        <f>Tabela2[[#This Row],[Abrev]]</f>
        <v>PAI</v>
      </c>
      <c r="C92" s="11" t="str">
        <f>'Controle adm. dos cursos'!D92</f>
        <v>Plano Anual de Instrução</v>
      </c>
      <c r="D92" s="43" t="str">
        <f>Tabela2[[#This Row],[Nome curto]]</f>
        <v>PAI12025</v>
      </c>
      <c r="E92" s="43">
        <f>Tabela2[[#This Row],[Nº curso]]</f>
        <v>246</v>
      </c>
      <c r="F92" s="12" t="str">
        <f>'Controle adm. dos cursos'!G92</f>
        <v>7º BBM</v>
      </c>
      <c r="G92" s="43">
        <f>'Controle adm. dos cursos'!H92</f>
        <v>2025</v>
      </c>
      <c r="H92" s="35">
        <v>45719</v>
      </c>
      <c r="I92" s="35">
        <v>45991</v>
      </c>
      <c r="J92" s="36">
        <v>100</v>
      </c>
      <c r="K92" s="12" t="s">
        <v>242</v>
      </c>
      <c r="L92" s="37" t="s">
        <v>241</v>
      </c>
      <c r="M92" s="37"/>
      <c r="N92" s="42"/>
      <c r="O92" s="42"/>
      <c r="P92" s="42"/>
      <c r="Q92" s="39">
        <f>IFERROR((Tabela3[[#This Row],[Aprovados]]*100)/Tabela3[[#This Row],[Matriculados]],0)</f>
        <v>0</v>
      </c>
      <c r="R92" s="43"/>
      <c r="S92" s="43"/>
      <c r="T92" s="43"/>
      <c r="U92" s="43"/>
    </row>
    <row r="93" spans="1:21" ht="28.5" x14ac:dyDescent="0.25">
      <c r="A93" s="43">
        <f>Tabela2[[#This Row],[Nº]]</f>
        <v>91</v>
      </c>
      <c r="B93" s="32" t="str">
        <f>Tabela2[[#This Row],[Abrev]]</f>
        <v>CADC</v>
      </c>
      <c r="C93" s="11" t="str">
        <f>'Controle adm. dos cursos'!D93</f>
        <v>Capacitação de Agentes de Defesa Civil</v>
      </c>
      <c r="D93" s="43" t="str">
        <f>Tabela2[[#This Row],[Nome curto]]</f>
        <v>CADC12025</v>
      </c>
      <c r="E93" s="43">
        <f>Tabela2[[#This Row],[Nº curso]]</f>
        <v>247</v>
      </c>
      <c r="F93" s="12" t="str">
        <f>'Controle adm. dos cursos'!G93</f>
        <v>I 2025</v>
      </c>
      <c r="G93" s="43">
        <f>'Controle adm. dos cursos'!H93</f>
        <v>2025</v>
      </c>
      <c r="H93" s="35">
        <v>45726</v>
      </c>
      <c r="I93" s="35">
        <v>45758</v>
      </c>
      <c r="J93" s="36">
        <v>131</v>
      </c>
      <c r="K93" s="12" t="s">
        <v>242</v>
      </c>
      <c r="L93" s="37" t="s">
        <v>238</v>
      </c>
      <c r="M93" s="37" t="s">
        <v>317</v>
      </c>
      <c r="N93" s="42">
        <v>3</v>
      </c>
      <c r="O93" s="42">
        <v>3</v>
      </c>
      <c r="P93" s="42">
        <v>3</v>
      </c>
      <c r="Q93" s="39">
        <f>IFERROR((Tabela3[[#This Row],[Aprovados]]*100)/Tabela3[[#This Row],[Matriculados]],0)</f>
        <v>100</v>
      </c>
      <c r="R93" s="43">
        <v>0</v>
      </c>
      <c r="S93" s="43">
        <v>0</v>
      </c>
      <c r="T93" s="43">
        <v>0</v>
      </c>
      <c r="U93" s="43">
        <v>0</v>
      </c>
    </row>
    <row r="94" spans="1:21" ht="28.5" x14ac:dyDescent="0.25">
      <c r="A94" s="43">
        <f>Tabela2[[#This Row],[Nº]]</f>
        <v>92</v>
      </c>
      <c r="B94" s="32" t="str">
        <f>Tabela2[[#This Row],[Abrev]]</f>
        <v>CFGM</v>
      </c>
      <c r="C94" s="11" t="str">
        <f>'Controle adm. dos cursos'!D94</f>
        <v>Conhecimentos Fundamentais para Gestores Municipais de Proteção e Defesa Civil</v>
      </c>
      <c r="D94" s="43" t="str">
        <f>Tabela2[[#This Row],[Nome curto]]</f>
        <v>CFGMPDC12025</v>
      </c>
      <c r="E94" s="43">
        <f>Tabela2[[#This Row],[Nº curso]]</f>
        <v>244</v>
      </c>
      <c r="F94" s="12" t="str">
        <f>'Controle adm. dos cursos'!G94</f>
        <v>I 2025</v>
      </c>
      <c r="G94" s="43">
        <f>'Controle adm. dos cursos'!H94</f>
        <v>2025</v>
      </c>
      <c r="H94" s="35">
        <v>45733</v>
      </c>
      <c r="I94" s="35">
        <v>45765</v>
      </c>
      <c r="J94" s="36">
        <v>8</v>
      </c>
      <c r="K94" s="12" t="s">
        <v>244</v>
      </c>
      <c r="L94" s="37" t="s">
        <v>238</v>
      </c>
      <c r="M94" s="37" t="s">
        <v>317</v>
      </c>
      <c r="N94" s="42">
        <v>470</v>
      </c>
      <c r="O94" s="42">
        <v>470</v>
      </c>
      <c r="P94" s="42">
        <v>261</v>
      </c>
      <c r="Q94" s="39">
        <f>IFERROR((Tabela3[[#This Row],[Aprovados]]*100)/Tabela3[[#This Row],[Matriculados]],0)</f>
        <v>55.531914893617021</v>
      </c>
      <c r="R94" s="43">
        <v>4</v>
      </c>
      <c r="S94" s="43">
        <v>0</v>
      </c>
      <c r="T94" s="43">
        <v>205</v>
      </c>
      <c r="U94" s="43">
        <v>0</v>
      </c>
    </row>
    <row r="95" spans="1:21" ht="28.5" x14ac:dyDescent="0.25">
      <c r="A95" s="43">
        <f>Tabela2[[#This Row],[Nº]]</f>
        <v>93</v>
      </c>
      <c r="B95" s="32" t="str">
        <f>Tabela2[[#This Row],[Abrev]]</f>
        <v>FBEMS</v>
      </c>
      <c r="C95" s="11" t="str">
        <f>'Controle adm. dos cursos'!D95</f>
        <v>Formação de Brigadistas Escolares e Monitores de Segurança</v>
      </c>
      <c r="D95" s="43" t="str">
        <f>Tabela2[[#This Row],[Nome curto]]</f>
        <v>CFBE12025</v>
      </c>
      <c r="E95" s="43">
        <f>Tabela2[[#This Row],[Nº curso]]</f>
        <v>245</v>
      </c>
      <c r="F95" s="12" t="str">
        <f>'Controle adm. dos cursos'!G95</f>
        <v>I 2025</v>
      </c>
      <c r="G95" s="43">
        <f>'Controle adm. dos cursos'!H95</f>
        <v>2025</v>
      </c>
      <c r="H95" s="35">
        <v>45748</v>
      </c>
      <c r="I95" s="35">
        <v>45777</v>
      </c>
      <c r="J95" s="36">
        <v>80</v>
      </c>
      <c r="K95" s="12" t="s">
        <v>242</v>
      </c>
      <c r="L95" s="37" t="s">
        <v>238</v>
      </c>
      <c r="M95" s="37" t="s">
        <v>324</v>
      </c>
      <c r="N95" s="42">
        <v>5149</v>
      </c>
      <c r="O95" s="42">
        <v>5149</v>
      </c>
      <c r="P95" s="42">
        <v>4456</v>
      </c>
      <c r="Q95" s="39">
        <f>IFERROR((Tabela3[[#This Row],[Aprovados]]*100)/Tabela3[[#This Row],[Matriculados]],0)</f>
        <v>86.541075937075163</v>
      </c>
      <c r="R95" s="43">
        <v>112</v>
      </c>
      <c r="S95" s="43">
        <v>207</v>
      </c>
      <c r="T95" s="43">
        <v>374</v>
      </c>
      <c r="U95" s="43">
        <v>0</v>
      </c>
    </row>
    <row r="96" spans="1:21" ht="28.5" x14ac:dyDescent="0.25">
      <c r="A96" s="43">
        <f>Tabela2[[#This Row],[Nº]]</f>
        <v>94</v>
      </c>
      <c r="B96" s="32" t="str">
        <f>Tabela2[[#This Row],[Abrev]]</f>
        <v>CADC</v>
      </c>
      <c r="C96" s="11" t="str">
        <f>'Controle adm. dos cursos'!D96</f>
        <v>Capacitação de Agentes de Defesa Civil</v>
      </c>
      <c r="D96" s="43" t="str">
        <f>Tabela2[[#This Row],[Nome curto]]</f>
        <v>CADC22025</v>
      </c>
      <c r="E96" s="43">
        <f>Tabela2[[#This Row],[Nº curso]]</f>
        <v>248</v>
      </c>
      <c r="F96" s="12" t="str">
        <f>'Controle adm. dos cursos'!G96</f>
        <v>II 2025</v>
      </c>
      <c r="G96" s="43">
        <f>'Controle adm. dos cursos'!H96</f>
        <v>2025</v>
      </c>
      <c r="H96" s="35">
        <v>45751</v>
      </c>
      <c r="I96" s="35">
        <v>45787</v>
      </c>
      <c r="J96" s="36">
        <v>131</v>
      </c>
      <c r="K96" s="12" t="s">
        <v>242</v>
      </c>
      <c r="L96" s="37" t="s">
        <v>238</v>
      </c>
      <c r="M96" s="37" t="s">
        <v>317</v>
      </c>
      <c r="N96" s="42">
        <v>55</v>
      </c>
      <c r="O96" s="42">
        <v>55</v>
      </c>
      <c r="P96" s="42">
        <v>49</v>
      </c>
      <c r="Q96" s="39">
        <f>IFERROR((Tabela3[[#This Row],[Aprovados]]*100)/Tabela3[[#This Row],[Matriculados]],0)</f>
        <v>89.090909090909093</v>
      </c>
      <c r="R96" s="43">
        <v>4</v>
      </c>
      <c r="S96" s="43">
        <v>2</v>
      </c>
      <c r="T96" s="43">
        <v>0</v>
      </c>
      <c r="U96" s="43">
        <v>0</v>
      </c>
    </row>
    <row r="97" spans="1:21" ht="28.5" x14ac:dyDescent="0.25">
      <c r="A97" s="43">
        <f>Tabela2[[#This Row],[Nº]]</f>
        <v>95</v>
      </c>
      <c r="B97" s="32" t="str">
        <f>Tabela2[[#This Row],[Abrev]]</f>
        <v>EE</v>
      </c>
      <c r="C97" s="11" t="str">
        <f>'Controle adm. dos cursos'!D97</f>
        <v>Atendimento de Emergências em Edificações</v>
      </c>
      <c r="D97" s="43" t="str">
        <f>Tabela2[[#This Row],[Nome curto]]</f>
        <v>EE12025</v>
      </c>
      <c r="E97" s="43">
        <f>Tabela2[[#This Row],[Nº curso]]</f>
        <v>249</v>
      </c>
      <c r="F97" s="12" t="str">
        <f>'Controle adm. dos cursos'!G97</f>
        <v>UNESPAR</v>
      </c>
      <c r="G97" s="43">
        <f>'Controle adm. dos cursos'!H97</f>
        <v>2025</v>
      </c>
      <c r="H97" s="35">
        <v>45769</v>
      </c>
      <c r="I97" s="35">
        <v>45798</v>
      </c>
      <c r="J97" s="36">
        <v>49</v>
      </c>
      <c r="K97" s="12" t="s">
        <v>242</v>
      </c>
      <c r="L97" s="37" t="s">
        <v>241</v>
      </c>
      <c r="M97" s="37" t="s">
        <v>317</v>
      </c>
      <c r="N97" s="42">
        <v>111</v>
      </c>
      <c r="O97" s="42">
        <v>111</v>
      </c>
      <c r="P97" s="42">
        <v>75</v>
      </c>
      <c r="Q97" s="39">
        <f>IFERROR((Tabela3[[#This Row],[Aprovados]]*100)/Tabela3[[#This Row],[Matriculados]],0)</f>
        <v>67.567567567567565</v>
      </c>
      <c r="R97" s="43">
        <v>14</v>
      </c>
      <c r="S97" s="43">
        <v>5</v>
      </c>
      <c r="T97" s="43">
        <v>17</v>
      </c>
      <c r="U97" s="43">
        <v>0</v>
      </c>
    </row>
    <row r="98" spans="1:21" ht="28.5" x14ac:dyDescent="0.25">
      <c r="A98" s="43">
        <f>Tabela2[[#This Row],[Nº]]</f>
        <v>96</v>
      </c>
      <c r="B98" s="32" t="str">
        <f>Tabela2[[#This Row],[Abrev]]</f>
        <v>CADC</v>
      </c>
      <c r="C98" s="11" t="str">
        <f>'Controle adm. dos cursos'!D98</f>
        <v>Capacitação de Agentes de Defesa Civil</v>
      </c>
      <c r="D98" s="43" t="str">
        <f>Tabela2[[#This Row],[Nome curto]]</f>
        <v>CADC32025</v>
      </c>
      <c r="E98" s="43">
        <f>Tabela2[[#This Row],[Nº curso]]</f>
        <v>252</v>
      </c>
      <c r="F98" s="12" t="str">
        <f>'Controle adm. dos cursos'!G98</f>
        <v>III 2025</v>
      </c>
      <c r="G98" s="43">
        <f>'Controle adm. dos cursos'!H98</f>
        <v>2025</v>
      </c>
      <c r="H98" s="35">
        <v>45775</v>
      </c>
      <c r="I98" s="35">
        <v>45777</v>
      </c>
      <c r="J98" s="36">
        <v>131</v>
      </c>
      <c r="K98" s="12" t="s">
        <v>242</v>
      </c>
      <c r="L98" s="37" t="s">
        <v>238</v>
      </c>
      <c r="M98" s="37" t="s">
        <v>317</v>
      </c>
      <c r="N98" s="42">
        <v>153</v>
      </c>
      <c r="O98" s="42">
        <v>153</v>
      </c>
      <c r="P98" s="42">
        <v>114</v>
      </c>
      <c r="Q98" s="39">
        <f>IFERROR((Tabela3[[#This Row],[Aprovados]]*100)/Tabela3[[#This Row],[Matriculados]],0)</f>
        <v>74.509803921568633</v>
      </c>
      <c r="R98" s="43">
        <v>11</v>
      </c>
      <c r="S98" s="43">
        <v>10</v>
      </c>
      <c r="T98" s="43">
        <v>18</v>
      </c>
      <c r="U98" s="43">
        <v>0</v>
      </c>
    </row>
    <row r="99" spans="1:21" ht="28.5" x14ac:dyDescent="0.25">
      <c r="A99" s="43">
        <f>Tabela2[[#This Row],[Nº]]</f>
        <v>97</v>
      </c>
      <c r="B99" s="32" t="str">
        <f>Tabela2[[#This Row],[Abrev]]</f>
        <v>SCI</v>
      </c>
      <c r="C99" s="11" t="str">
        <f>'Controle adm. dos cursos'!D99</f>
        <v>Sistema de Comando de Incidentes</v>
      </c>
      <c r="D99" s="43" t="str">
        <f>Tabela2[[#This Row],[Nome curto]]</f>
        <v>SCI12025</v>
      </c>
      <c r="E99" s="43">
        <f>Tabela2[[#This Row],[Nº curso]]</f>
        <v>251</v>
      </c>
      <c r="F99" s="12" t="str">
        <f>'Controle adm. dos cursos'!G99</f>
        <v>CRMV</v>
      </c>
      <c r="G99" s="43">
        <f>'Controle adm. dos cursos'!H99</f>
        <v>2025</v>
      </c>
      <c r="H99" s="35">
        <v>45778</v>
      </c>
      <c r="I99" s="35">
        <v>45807</v>
      </c>
      <c r="J99" s="36">
        <v>40</v>
      </c>
      <c r="K99" s="12" t="s">
        <v>242</v>
      </c>
      <c r="L99" s="37" t="s">
        <v>238</v>
      </c>
      <c r="M99" s="37" t="s">
        <v>317</v>
      </c>
      <c r="N99" s="42">
        <v>282</v>
      </c>
      <c r="O99" s="42">
        <v>282</v>
      </c>
      <c r="P99" s="42">
        <v>84</v>
      </c>
      <c r="Q99" s="39">
        <f>IFERROR((Tabela3[[#This Row],[Aprovados]]*100)/Tabela3[[#This Row],[Matriculados]],0)</f>
        <v>29.787234042553191</v>
      </c>
      <c r="R99" s="43">
        <v>7</v>
      </c>
      <c r="S99" s="43">
        <v>14</v>
      </c>
      <c r="T99" s="43">
        <v>177</v>
      </c>
      <c r="U99" s="43">
        <v>0</v>
      </c>
    </row>
    <row r="100" spans="1:21" ht="28.5" x14ac:dyDescent="0.25">
      <c r="A100" s="43">
        <f>Tabela2[[#This Row],[Nº]]</f>
        <v>98</v>
      </c>
      <c r="B100" s="32" t="str">
        <f>Tabela2[[#This Row],[Abrev]]</f>
        <v>CCFADC</v>
      </c>
      <c r="C100" s="11" t="str">
        <f>'Controle adm. dos cursos'!D100</f>
        <v>Capacitação e Conhecimentos Fundamentais para Atividades de Defesa Civil</v>
      </c>
      <c r="D100" s="43" t="str">
        <f>Tabela2[[#This Row],[Nome curto]]</f>
        <v>CCFADC22025</v>
      </c>
      <c r="E100" s="43">
        <f>Tabela2[[#This Row],[Nº curso]]</f>
        <v>2671</v>
      </c>
      <c r="F100" s="12" t="str">
        <f>'Controle adm. dos cursos'!G100</f>
        <v>QPPE Defesa Civil</v>
      </c>
      <c r="G100" s="43">
        <f>'Controle adm. dos cursos'!H100</f>
        <v>2025</v>
      </c>
      <c r="H100" s="35">
        <v>45831</v>
      </c>
      <c r="I100" s="35">
        <v>45856</v>
      </c>
      <c r="J100" s="36">
        <v>28</v>
      </c>
      <c r="K100" s="12" t="s">
        <v>242</v>
      </c>
      <c r="L100" s="37" t="s">
        <v>238</v>
      </c>
      <c r="M100" s="37"/>
      <c r="N100" s="42"/>
      <c r="O100" s="42"/>
      <c r="P100" s="42"/>
      <c r="Q100" s="39"/>
      <c r="R100" s="43"/>
      <c r="S100" s="43"/>
      <c r="T100" s="43"/>
      <c r="U100" s="43"/>
    </row>
    <row r="101" spans="1:21" ht="28.5" x14ac:dyDescent="0.25">
      <c r="A101" s="43">
        <f>Tabela2[[#This Row],[Nº]]</f>
        <v>99</v>
      </c>
      <c r="B101" s="32" t="str">
        <f>Tabela2[[#This Row],[Abrev]]</f>
        <v>REER</v>
      </c>
      <c r="C101" s="11" t="str">
        <f>'Controle adm. dos cursos'!D101</f>
        <v>Conhecimentos Básicos para Integrantes da Rede Estadual de Emergência de Radioamadores</v>
      </c>
      <c r="D101" s="43" t="str">
        <f>Tabela2[[#This Row],[Nome curto]]</f>
        <v>REER12025</v>
      </c>
      <c r="E101" s="43">
        <f>Tabela2[[#This Row],[Nº curso]]</f>
        <v>260</v>
      </c>
      <c r="F101" s="12" t="str">
        <f>'Controle adm. dos cursos'!G101</f>
        <v>Adjuntos</v>
      </c>
      <c r="G101" s="43">
        <f>'Controle adm. dos cursos'!H101</f>
        <v>2025</v>
      </c>
      <c r="H101" s="35">
        <v>45845</v>
      </c>
      <c r="I101" s="35">
        <v>45874</v>
      </c>
      <c r="J101" s="36">
        <v>15</v>
      </c>
      <c r="K101" s="12" t="s">
        <v>242</v>
      </c>
      <c r="L101" s="37" t="s">
        <v>238</v>
      </c>
      <c r="M101" s="37" t="s">
        <v>317</v>
      </c>
      <c r="N101" s="42">
        <v>51</v>
      </c>
      <c r="O101" s="42">
        <v>51</v>
      </c>
      <c r="P101" s="42">
        <v>46</v>
      </c>
      <c r="Q101" s="39">
        <f>IFERROR((Tabela3[[#This Row],[Aprovados]]*100)/Tabela3[[#This Row],[Matriculados]],0)</f>
        <v>90.196078431372555</v>
      </c>
      <c r="R101" s="43">
        <v>0</v>
      </c>
      <c r="S101" s="43">
        <v>0</v>
      </c>
      <c r="T101" s="43">
        <v>5</v>
      </c>
      <c r="U101" s="43">
        <v>0</v>
      </c>
    </row>
    <row r="102" spans="1:21" ht="28.5" x14ac:dyDescent="0.25">
      <c r="A102" s="43">
        <f>Tabela2[[#This Row],[Nº]]</f>
        <v>100</v>
      </c>
      <c r="B102" s="32" t="str">
        <f>Tabela2[[#This Row],[Abrev]]</f>
        <v>REER</v>
      </c>
      <c r="C102" s="11" t="str">
        <f>'Controle adm. dos cursos'!D102</f>
        <v>Conhecimentos Básicos para Integrantes da Rede Estadual de Emergência de Radioamadores</v>
      </c>
      <c r="D102" s="43" t="str">
        <f>Tabela2[[#This Row],[Nome curto]]</f>
        <v>REER22025</v>
      </c>
      <c r="E102" s="43">
        <f>Tabela2[[#This Row],[Nº curso]]</f>
        <v>262</v>
      </c>
      <c r="F102" s="12" t="str">
        <f>'Controle adm. dos cursos'!G102</f>
        <v>Supervisores</v>
      </c>
      <c r="G102" s="43">
        <f>'Controle adm. dos cursos'!H102</f>
        <v>2025</v>
      </c>
      <c r="H102" s="35">
        <v>45845</v>
      </c>
      <c r="I102" s="35">
        <v>45874</v>
      </c>
      <c r="J102" s="36">
        <v>15</v>
      </c>
      <c r="K102" s="12" t="s">
        <v>237</v>
      </c>
      <c r="L102" s="37" t="s">
        <v>238</v>
      </c>
      <c r="M102" s="37" t="s">
        <v>317</v>
      </c>
      <c r="N102" s="42">
        <v>38</v>
      </c>
      <c r="O102" s="42">
        <v>38</v>
      </c>
      <c r="P102" s="42">
        <v>38</v>
      </c>
      <c r="Q102" s="39">
        <f>IFERROR((Tabela3[[#This Row],[Aprovados]]*100)/Tabela3[[#This Row],[Matriculados]],0)</f>
        <v>100</v>
      </c>
      <c r="R102" s="43">
        <v>0</v>
      </c>
      <c r="S102" s="43">
        <v>0</v>
      </c>
      <c r="T102" s="43">
        <v>0</v>
      </c>
      <c r="U102" s="43">
        <v>0</v>
      </c>
    </row>
    <row r="103" spans="1:21" ht="28.5" x14ac:dyDescent="0.25">
      <c r="A103" s="43">
        <f>Tabela2[[#This Row],[Nº]]</f>
        <v>101</v>
      </c>
      <c r="B103" s="32" t="str">
        <f>Tabela2[[#This Row],[Abrev]]</f>
        <v>CIARP</v>
      </c>
      <c r="C103" s="11" t="str">
        <f>'Controle adm. dos cursos'!D103</f>
        <v>Curso Introdutório de Aeronaves Remotamente Pilotadas</v>
      </c>
      <c r="D103" s="43" t="str">
        <f>Tabela2[[#This Row],[Nome curto]]</f>
        <v>CIARP12025</v>
      </c>
      <c r="E103" s="43">
        <f>Tabela2[[#This Row],[Nº curso]]</f>
        <v>264</v>
      </c>
      <c r="F103" s="12" t="str">
        <f>'Controle adm. dos cursos'!G103</f>
        <v>PMCGS</v>
      </c>
      <c r="G103" s="43">
        <f>'Controle adm. dos cursos'!H103</f>
        <v>2025</v>
      </c>
      <c r="H103" s="35">
        <v>45846</v>
      </c>
      <c r="I103" s="35">
        <v>45894</v>
      </c>
      <c r="J103" s="36">
        <v>16</v>
      </c>
      <c r="K103" s="12" t="s">
        <v>242</v>
      </c>
      <c r="L103" s="37" t="s">
        <v>241</v>
      </c>
      <c r="M103" s="37" t="s">
        <v>329</v>
      </c>
      <c r="N103" s="42">
        <v>24</v>
      </c>
      <c r="O103" s="42">
        <v>24</v>
      </c>
      <c r="P103" s="42">
        <v>24</v>
      </c>
      <c r="Q103" s="39">
        <f>IFERROR((Tabela3[[#This Row],[Aprovados]]*100)/Tabela3[[#This Row],[Matriculados]],0)</f>
        <v>100</v>
      </c>
      <c r="R103" s="43">
        <v>0</v>
      </c>
      <c r="S103" s="43">
        <v>0</v>
      </c>
      <c r="T103" s="43">
        <v>0</v>
      </c>
      <c r="U103" s="43">
        <v>0</v>
      </c>
    </row>
    <row r="104" spans="1:21" ht="28.5" x14ac:dyDescent="0.25">
      <c r="A104" s="43">
        <f>Tabela2[[#This Row],[Nº]]</f>
        <v>102</v>
      </c>
      <c r="B104" s="32" t="str">
        <f>Tabela2[[#This Row],[Abrev]]</f>
        <v>CIARP</v>
      </c>
      <c r="C104" s="11" t="str">
        <f>'Controle adm. dos cursos'!D104</f>
        <v>Curso Introdutório de Aeronaves Remotamente Pilotadas</v>
      </c>
      <c r="D104" s="43" t="str">
        <f>Tabela2[[#This Row],[Nome curto]]</f>
        <v>CIARP22025</v>
      </c>
      <c r="E104" s="43">
        <f>Tabela2[[#This Row],[Nº curso]]</f>
        <v>267</v>
      </c>
      <c r="F104" s="12" t="str">
        <f>'Controle adm. dos cursos'!G104</f>
        <v>IAT</v>
      </c>
      <c r="G104" s="43">
        <f>'Controle adm. dos cursos'!H104</f>
        <v>2025</v>
      </c>
      <c r="H104" s="35">
        <v>45846</v>
      </c>
      <c r="I104" s="35">
        <v>45894</v>
      </c>
      <c r="J104" s="36">
        <v>16</v>
      </c>
      <c r="K104" s="12" t="s">
        <v>242</v>
      </c>
      <c r="L104" s="37" t="s">
        <v>241</v>
      </c>
      <c r="M104" s="37" t="s">
        <v>329</v>
      </c>
      <c r="N104" s="42">
        <v>10</v>
      </c>
      <c r="O104" s="42">
        <v>10</v>
      </c>
      <c r="P104" s="42">
        <v>10</v>
      </c>
      <c r="Q104" s="39">
        <f>IFERROR((Tabela3[[#This Row],[Aprovados]]*100)/Tabela3[[#This Row],[Matriculados]],0)</f>
        <v>100</v>
      </c>
      <c r="R104" s="43">
        <v>0</v>
      </c>
      <c r="S104" s="43">
        <v>0</v>
      </c>
      <c r="T104" s="43">
        <v>0</v>
      </c>
      <c r="U104" s="43">
        <v>0</v>
      </c>
    </row>
    <row r="105" spans="1:21" ht="28.5" x14ac:dyDescent="0.25">
      <c r="A105" s="43">
        <f>Tabela2[[#This Row],[Nº]]</f>
        <v>103</v>
      </c>
      <c r="B105" s="32" t="str">
        <f>Tabela2[[#This Row],[Abrev]]</f>
        <v>CBCV</v>
      </c>
      <c r="C105" s="11" t="str">
        <f>'Controle adm. dos cursos'!D105</f>
        <v>Capacitação em Brigadistas Civis Voluntários</v>
      </c>
      <c r="D105" s="43" t="str">
        <f>Tabela2[[#This Row],[Nome curto]]</f>
        <v>CBCV32025</v>
      </c>
      <c r="E105" s="43">
        <f>Tabela2[[#This Row],[Nº curso]]</f>
        <v>263</v>
      </c>
      <c r="F105" s="12" t="str">
        <f>'Controle adm. dos cursos'!G105</f>
        <v>Legendários Curitiba</v>
      </c>
      <c r="G105" s="43">
        <f>'Controle adm. dos cursos'!H105</f>
        <v>2025</v>
      </c>
      <c r="H105" s="35">
        <v>45846</v>
      </c>
      <c r="I105" s="35">
        <v>45862</v>
      </c>
      <c r="J105" s="36">
        <v>40</v>
      </c>
      <c r="K105" s="12" t="s">
        <v>242</v>
      </c>
      <c r="L105" s="37" t="s">
        <v>241</v>
      </c>
      <c r="M105" s="37"/>
      <c r="N105" s="42"/>
      <c r="O105" s="42"/>
      <c r="P105" s="42"/>
      <c r="Q105" s="39">
        <f>IFERROR((Tabela3[[#This Row],[Aprovados]]*100)/Tabela3[[#This Row],[Matriculados]],0)</f>
        <v>0</v>
      </c>
      <c r="R105" s="43"/>
      <c r="S105" s="43"/>
      <c r="T105" s="43"/>
      <c r="U105" s="43"/>
    </row>
    <row r="106" spans="1:21" ht="28.5" x14ac:dyDescent="0.25">
      <c r="A106" s="43">
        <f>Tabela2[[#This Row],[Nº]]</f>
        <v>104</v>
      </c>
      <c r="B106" s="32" t="str">
        <f>Tabela2[[#This Row],[Abrev]]</f>
        <v>CADC</v>
      </c>
      <c r="C106" s="11" t="str">
        <f>'Controle adm. dos cursos'!D106</f>
        <v>Capacitação de Agentes de Defesa Civil</v>
      </c>
      <c r="D106" s="43" t="str">
        <f>Tabela2[[#This Row],[Nome curto]]</f>
        <v>CADC42025</v>
      </c>
      <c r="E106" s="43">
        <f>Tabela2[[#This Row],[Nº curso]]</f>
        <v>265</v>
      </c>
      <c r="F106" s="12" t="str">
        <f>'Controle adm. dos cursos'!G106</f>
        <v>IV 2025</v>
      </c>
      <c r="G106" s="43">
        <f>'Controle adm. dos cursos'!H106</f>
        <v>2025</v>
      </c>
      <c r="H106" s="35">
        <v>45852</v>
      </c>
      <c r="I106" s="35">
        <v>45884</v>
      </c>
      <c r="J106" s="36">
        <v>131</v>
      </c>
      <c r="K106" s="12" t="s">
        <v>242</v>
      </c>
      <c r="L106" s="37" t="s">
        <v>238</v>
      </c>
      <c r="M106" s="37" t="s">
        <v>317</v>
      </c>
      <c r="N106" s="42">
        <v>37</v>
      </c>
      <c r="O106" s="42">
        <v>37</v>
      </c>
      <c r="P106" s="42">
        <v>35</v>
      </c>
      <c r="Q106" s="39">
        <f>IFERROR((Tabela3[[#This Row],[Aprovados]]*100)/Tabela3[[#This Row],[Matriculados]],0)</f>
        <v>94.594594594594597</v>
      </c>
      <c r="R106" s="43">
        <v>1</v>
      </c>
      <c r="S106" s="43">
        <v>0</v>
      </c>
      <c r="T106" s="43">
        <v>1</v>
      </c>
      <c r="U106" s="43">
        <v>0</v>
      </c>
    </row>
    <row r="107" spans="1:21" ht="28.5" x14ac:dyDescent="0.25">
      <c r="A107" s="43">
        <f>Tabela2[[#This Row],[Nº]]</f>
        <v>105</v>
      </c>
      <c r="B107" s="32" t="str">
        <f>Tabela2[[#This Row],[Abrev]]</f>
        <v>CBCM</v>
      </c>
      <c r="C107" s="11" t="str">
        <f>'Controle adm. dos cursos'!D107</f>
        <v>Capacitação de Brigadistas Civis Municipais</v>
      </c>
      <c r="D107" s="43" t="str">
        <f>Tabela2[[#This Row],[Nome curto]]</f>
        <v>CBCM12025</v>
      </c>
      <c r="E107" s="43">
        <f>Tabela2[[#This Row],[Nº curso]]</f>
        <v>259</v>
      </c>
      <c r="F107" s="12" t="str">
        <f>'Controle adm. dos cursos'!G107</f>
        <v>I 2025</v>
      </c>
      <c r="G107" s="43">
        <f>'Controle adm. dos cursos'!H107</f>
        <v>2025</v>
      </c>
      <c r="H107" s="35">
        <v>45866</v>
      </c>
      <c r="I107" s="35">
        <v>45891</v>
      </c>
      <c r="J107" s="36">
        <v>16</v>
      </c>
      <c r="K107" s="12" t="s">
        <v>242</v>
      </c>
      <c r="L107" s="37" t="s">
        <v>241</v>
      </c>
      <c r="M107" s="37"/>
      <c r="N107" s="42"/>
      <c r="O107" s="42"/>
      <c r="P107" s="42"/>
      <c r="Q107" s="39">
        <f>IFERROR((Tabela3[[#This Row],[Aprovados]]*100)/Tabela3[[#This Row],[Matriculados]],0)</f>
        <v>0</v>
      </c>
      <c r="R107" s="43"/>
      <c r="S107" s="43"/>
      <c r="T107" s="43"/>
      <c r="U107" s="43"/>
    </row>
    <row r="108" spans="1:21" ht="28.5" x14ac:dyDescent="0.25">
      <c r="A108" s="43">
        <f>Tabela2[[#This Row],[Nº]]</f>
        <v>106</v>
      </c>
      <c r="B108" s="32" t="str">
        <f>Tabela2[[#This Row],[Abrev]]</f>
        <v>SCI</v>
      </c>
      <c r="C108" s="11" t="str">
        <f>'Controle adm. dos cursos'!D108</f>
        <v>Sistema de Comando de Incidentes</v>
      </c>
      <c r="D108" s="43" t="str">
        <f>Tabela2[[#This Row],[Nome curto]]</f>
        <v>SCI22025</v>
      </c>
      <c r="E108" s="43">
        <f>Tabela2[[#This Row],[Nº curso]]</f>
        <v>268</v>
      </c>
      <c r="F108" s="12" t="str">
        <f>'Controle adm. dos cursos'!G108</f>
        <v>SEAGRI</v>
      </c>
      <c r="G108" s="43">
        <f>'Controle adm. dos cursos'!H108</f>
        <v>2025</v>
      </c>
      <c r="H108" s="35">
        <v>45870</v>
      </c>
      <c r="I108" s="35">
        <v>45893</v>
      </c>
      <c r="J108" s="36">
        <v>40</v>
      </c>
      <c r="K108" s="12" t="s">
        <v>242</v>
      </c>
      <c r="L108" s="37" t="s">
        <v>238</v>
      </c>
      <c r="M108" s="37" t="s">
        <v>317</v>
      </c>
      <c r="N108" s="42">
        <v>48</v>
      </c>
      <c r="O108" s="42">
        <v>48</v>
      </c>
      <c r="P108" s="42">
        <v>43</v>
      </c>
      <c r="Q108" s="39">
        <f>IFERROR((Tabela3[[#This Row],[Aprovados]]*100)/Tabela3[[#This Row],[Matriculados]],0)</f>
        <v>89.583333333333329</v>
      </c>
      <c r="R108" s="43">
        <v>0</v>
      </c>
      <c r="S108" s="43">
        <v>1</v>
      </c>
      <c r="T108" s="43">
        <v>4</v>
      </c>
      <c r="U108" s="43">
        <v>0</v>
      </c>
    </row>
    <row r="109" spans="1:21" ht="28.5" x14ac:dyDescent="0.25">
      <c r="A109" s="43">
        <f>Tabela2[[#This Row],[Nº]]</f>
        <v>107</v>
      </c>
      <c r="B109" s="32" t="str">
        <f>Tabela2[[#This Row],[Abrev]]</f>
        <v>PP</v>
      </c>
      <c r="C109" s="11" t="str">
        <f>'Controle adm. dos cursos'!D109</f>
        <v>Atendimento a Emergências com Produtos Perigosos</v>
      </c>
      <c r="D109" s="43" t="str">
        <f>Tabela2[[#This Row],[Nome curto]]</f>
        <v>PP12025</v>
      </c>
      <c r="E109" s="43">
        <f>Tabela2[[#This Row],[Nº curso]]</f>
        <v>269</v>
      </c>
      <c r="F109" s="12" t="str">
        <f>'Controle adm. dos cursos'!G109</f>
        <v>P2R2</v>
      </c>
      <c r="G109" s="43">
        <f>'Controle adm. dos cursos'!H109</f>
        <v>2025</v>
      </c>
      <c r="H109" s="35">
        <v>45870</v>
      </c>
      <c r="I109" s="35">
        <v>45894</v>
      </c>
      <c r="J109" s="36">
        <v>30</v>
      </c>
      <c r="K109" s="12" t="s">
        <v>242</v>
      </c>
      <c r="L109" s="37" t="s">
        <v>238</v>
      </c>
      <c r="M109" s="37" t="s">
        <v>317</v>
      </c>
      <c r="N109" s="42">
        <v>128</v>
      </c>
      <c r="O109" s="42">
        <v>128</v>
      </c>
      <c r="P109" s="42">
        <v>85</v>
      </c>
      <c r="Q109" s="39">
        <f>IFERROR((Tabela3[[#This Row],[Aprovados]]*100)/Tabela3[[#This Row],[Matriculados]],0)</f>
        <v>66.40625</v>
      </c>
      <c r="R109" s="43">
        <v>0</v>
      </c>
      <c r="S109" s="43">
        <v>12</v>
      </c>
      <c r="T109" s="43">
        <v>31</v>
      </c>
      <c r="U109" s="43">
        <v>0</v>
      </c>
    </row>
    <row r="110" spans="1:21" ht="28.5" x14ac:dyDescent="0.25">
      <c r="A110" s="43">
        <f>Tabela2[[#This Row],[Nº]]</f>
        <v>108</v>
      </c>
      <c r="B110" s="32" t="str">
        <f>Tabela2[[#This Row],[Abrev]]</f>
        <v>CBCV</v>
      </c>
      <c r="C110" s="11" t="str">
        <f>'Controle adm. dos cursos'!D110</f>
        <v>Capacitação em Brigadistas Civis Voluntários</v>
      </c>
      <c r="D110" s="43" t="str">
        <f>Tabela2[[#This Row],[Nome curto]]</f>
        <v>CBCV42025</v>
      </c>
      <c r="E110" s="43">
        <f>Tabela2[[#This Row],[Nº curso]]</f>
        <v>270</v>
      </c>
      <c r="F110" s="12" t="str">
        <f>'Controle adm. dos cursos'!G110</f>
        <v>Quilombolas</v>
      </c>
      <c r="G110" s="43">
        <f>'Controle adm. dos cursos'!H110</f>
        <v>2025</v>
      </c>
      <c r="H110" s="35">
        <v>46990</v>
      </c>
      <c r="I110" s="35">
        <v>45919</v>
      </c>
      <c r="J110" s="36">
        <v>16</v>
      </c>
      <c r="K110" s="12" t="s">
        <v>242</v>
      </c>
      <c r="L110" s="37" t="s">
        <v>241</v>
      </c>
      <c r="M110" s="37"/>
      <c r="N110" s="42"/>
      <c r="O110" s="42"/>
      <c r="P110" s="42"/>
      <c r="Q110" s="39">
        <f>IFERROR((Tabela3[[#This Row],[Aprovados]]*100)/Tabela3[[#This Row],[Matriculados]],0)</f>
        <v>0</v>
      </c>
      <c r="R110" s="43"/>
      <c r="S110" s="43"/>
      <c r="T110" s="43"/>
      <c r="U110" s="43"/>
    </row>
    <row r="111" spans="1:21" ht="28.5" x14ac:dyDescent="0.25">
      <c r="A111" s="43">
        <f>Tabela2[[#This Row],[Nº]]</f>
        <v>109</v>
      </c>
      <c r="B111" s="32" t="str">
        <f>Tabela2[[#This Row],[Abrev]]</f>
        <v>CBCV</v>
      </c>
      <c r="C111" s="11" t="str">
        <f>'Controle adm. dos cursos'!D111</f>
        <v>Capacitação em Brigadistas Civis Voluntários</v>
      </c>
      <c r="D111" s="43" t="str">
        <f>Tabela2[[#This Row],[Nome curto]]</f>
        <v>CBCV52025</v>
      </c>
      <c r="E111" s="43">
        <f>Tabela2[[#This Row],[Nº curso]]</f>
        <v>274</v>
      </c>
      <c r="F111" s="12" t="str">
        <f>'Controle adm. dos cursos'!G111</f>
        <v>Parque Est. Serra da Baitaca</v>
      </c>
      <c r="G111" s="43">
        <f>'Controle adm. dos cursos'!H111</f>
        <v>2025</v>
      </c>
      <c r="H111" s="35">
        <v>45908</v>
      </c>
      <c r="I111" s="35">
        <v>45918</v>
      </c>
      <c r="J111" s="36">
        <v>40</v>
      </c>
      <c r="K111" s="12" t="s">
        <v>242</v>
      </c>
      <c r="L111" s="37" t="s">
        <v>241</v>
      </c>
      <c r="M111" s="149"/>
      <c r="N111" s="42"/>
      <c r="O111" s="42"/>
      <c r="P111" s="42"/>
      <c r="Q111" s="39"/>
      <c r="R111" s="43"/>
      <c r="S111" s="43"/>
      <c r="T111" s="43"/>
      <c r="U111" s="43"/>
    </row>
    <row r="112" spans="1:21" ht="28.5" x14ac:dyDescent="0.25">
      <c r="A112" s="43">
        <f>Tabela2[[#This Row],[Nº]]</f>
        <v>110</v>
      </c>
      <c r="B112" s="32" t="str">
        <f>Tabela2[[#This Row],[Abrev]]</f>
        <v>CADC</v>
      </c>
      <c r="C112" s="11" t="str">
        <f>'Controle adm. dos cursos'!D112</f>
        <v>Capacitação de Agentes de Defesa Civil</v>
      </c>
      <c r="D112" s="43" t="str">
        <f>Tabela2[[#This Row],[Nome curto]]</f>
        <v>CADC52025</v>
      </c>
      <c r="E112" s="43">
        <f>Tabela2[[#This Row],[Nº curso]]</f>
        <v>273</v>
      </c>
      <c r="F112" s="12" t="str">
        <f>'Controle adm. dos cursos'!G112</f>
        <v>V 2025</v>
      </c>
      <c r="G112" s="43">
        <f>'Controle adm. dos cursos'!H112</f>
        <v>2025</v>
      </c>
      <c r="H112" s="35">
        <v>45908</v>
      </c>
      <c r="I112" s="35">
        <v>45929</v>
      </c>
      <c r="J112" s="36">
        <v>131</v>
      </c>
      <c r="K112" s="12" t="s">
        <v>242</v>
      </c>
      <c r="L112" s="37" t="s">
        <v>238</v>
      </c>
      <c r="M112" s="37" t="s">
        <v>317</v>
      </c>
      <c r="N112" s="42"/>
      <c r="O112" s="42"/>
      <c r="P112" s="42"/>
      <c r="Q112" s="39">
        <f>IFERROR((Tabela3[[#This Row],[Aprovados]]*100)/Tabela3[[#This Row],[Matriculados]],0)</f>
        <v>0</v>
      </c>
      <c r="R112" s="43"/>
      <c r="S112" s="43"/>
      <c r="T112" s="43"/>
      <c r="U112" s="43"/>
    </row>
    <row r="113" spans="1:21" ht="28.5" x14ac:dyDescent="0.25">
      <c r="A113" s="43">
        <f>Tabela2[[#This Row],[Nº]]</f>
        <v>111</v>
      </c>
      <c r="B113" s="32" t="str">
        <f>Tabela2[[#This Row],[Abrev]]</f>
        <v>CBCV</v>
      </c>
      <c r="C113" s="11" t="str">
        <f>'Controle adm. dos cursos'!D113</f>
        <v>Capacitação em Brigadistas Civis Voluntários</v>
      </c>
      <c r="D113" s="43" t="str">
        <f>Tabela2[[#This Row],[Nome curto]]</f>
        <v>CBCV62025</v>
      </c>
      <c r="E113" s="43">
        <f>Tabela2[[#This Row],[Nº curso]]</f>
        <v>277</v>
      </c>
      <c r="F113" s="12" t="str">
        <f>'Controle adm. dos cursos'!G113</f>
        <v>2 Quilombolas</v>
      </c>
      <c r="G113" s="43">
        <f>'Controle adm. dos cursos'!H113</f>
        <v>2025</v>
      </c>
      <c r="H113" s="35">
        <v>45915</v>
      </c>
      <c r="I113" s="35">
        <v>45930</v>
      </c>
      <c r="J113" s="36">
        <v>16</v>
      </c>
      <c r="K113" s="12" t="s">
        <v>242</v>
      </c>
      <c r="L113" s="37" t="s">
        <v>241</v>
      </c>
      <c r="M113" s="149"/>
      <c r="N113" s="42"/>
      <c r="O113" s="42"/>
      <c r="P113" s="42"/>
      <c r="Q113" s="39"/>
      <c r="R113" s="43"/>
      <c r="S113" s="43"/>
      <c r="T113" s="43"/>
      <c r="U113" s="43"/>
    </row>
    <row r="114" spans="1:21" ht="28.5" x14ac:dyDescent="0.25">
      <c r="A114" s="43">
        <f>Tabela2[[#This Row],[Nº]]</f>
        <v>112</v>
      </c>
      <c r="B114" s="32" t="str">
        <f>Tabela2[[#This Row],[Abrev]]</f>
        <v>SCI</v>
      </c>
      <c r="C114" s="11" t="str">
        <f>'Controle adm. dos cursos'!D114</f>
        <v>Sistema de Comando de Incidentes</v>
      </c>
      <c r="D114" s="43" t="str">
        <f>Tabela2[[#This Row],[Nome curto]]</f>
        <v>SCI32025</v>
      </c>
      <c r="E114" s="43">
        <f>Tabela2[[#This Row],[Nº curso]]</f>
        <v>276</v>
      </c>
      <c r="F114" s="12" t="str">
        <f>'Controle adm. dos cursos'!G114</f>
        <v>5ª Regional de Saúde</v>
      </c>
      <c r="G114" s="43">
        <f>'Controle adm. dos cursos'!H114</f>
        <v>2025</v>
      </c>
      <c r="H114" s="35">
        <v>45915</v>
      </c>
      <c r="I114" s="35">
        <v>45943</v>
      </c>
      <c r="J114" s="36">
        <v>40</v>
      </c>
      <c r="K114" s="12" t="s">
        <v>242</v>
      </c>
      <c r="L114" s="37" t="s">
        <v>238</v>
      </c>
      <c r="M114" s="149" t="s">
        <v>317</v>
      </c>
      <c r="N114" s="42"/>
      <c r="O114" s="42"/>
      <c r="P114" s="42"/>
      <c r="Q114" s="39"/>
      <c r="R114" s="43"/>
      <c r="S114" s="43"/>
      <c r="T114" s="43"/>
      <c r="U114" s="43"/>
    </row>
    <row r="115" spans="1:21" ht="28.5" x14ac:dyDescent="0.25">
      <c r="A115" s="43">
        <f>Tabela2[[#This Row],[Nº]]</f>
        <v>113</v>
      </c>
      <c r="B115" s="32" t="str">
        <f>Tabela2[[#This Row],[Abrev]]</f>
        <v>CBCV</v>
      </c>
      <c r="C115" s="11" t="str">
        <f>'Controle adm. dos cursos'!D115</f>
        <v>Capacitação em Brigadistas Civis Voluntários</v>
      </c>
      <c r="D115" s="43" t="str">
        <f>Tabela2[[#This Row],[Nome curto]]</f>
        <v>CBCV72025</v>
      </c>
      <c r="E115" s="43">
        <f>Tabela2[[#This Row],[Nº curso]]</f>
        <v>281</v>
      </c>
      <c r="F115" s="12" t="str">
        <f>'Controle adm. dos cursos'!G115</f>
        <v>Doutor Ulysses</v>
      </c>
      <c r="G115" s="43">
        <f>'Controle adm. dos cursos'!H115</f>
        <v>2025</v>
      </c>
      <c r="H115" s="35">
        <v>45930</v>
      </c>
      <c r="I115" s="35">
        <v>45943</v>
      </c>
      <c r="J115" s="17">
        <v>16</v>
      </c>
      <c r="K115" s="12" t="s">
        <v>242</v>
      </c>
      <c r="L115" s="37" t="s">
        <v>241</v>
      </c>
      <c r="M115" s="149"/>
      <c r="N115" s="42"/>
      <c r="O115" s="42"/>
      <c r="P115" s="42"/>
      <c r="Q115" s="39"/>
      <c r="R115" s="43"/>
      <c r="S115" s="43"/>
      <c r="T115" s="43"/>
      <c r="U115" s="43"/>
    </row>
    <row r="116" spans="1:21" ht="28.5" x14ac:dyDescent="0.25">
      <c r="A116" s="43">
        <f>Tabela2[[#This Row],[Nº]]</f>
        <v>114</v>
      </c>
      <c r="B116" s="32" t="str">
        <f>Tabela2[[#This Row],[Abrev]]</f>
        <v>EE</v>
      </c>
      <c r="C116" s="11" t="str">
        <f>'Controle adm. dos cursos'!D116</f>
        <v>Atendimento de Emergências em Edificações</v>
      </c>
      <c r="D116" s="43" t="str">
        <f>Tabela2[[#This Row],[Nome curto]]</f>
        <v>EE22025</v>
      </c>
      <c r="E116" s="43">
        <f>Tabela2[[#This Row],[Nº curso]]</f>
        <v>272</v>
      </c>
      <c r="F116" s="12" t="str">
        <f>'Controle adm. dos cursos'!G116</f>
        <v>UEM</v>
      </c>
      <c r="G116" s="43">
        <f>'Controle adm. dos cursos'!H116</f>
        <v>2025</v>
      </c>
      <c r="H116" s="35">
        <v>45936</v>
      </c>
      <c r="I116" s="35">
        <v>45954</v>
      </c>
      <c r="J116" s="36">
        <v>56</v>
      </c>
      <c r="K116" s="12" t="s">
        <v>242</v>
      </c>
      <c r="L116" s="37" t="s">
        <v>241</v>
      </c>
      <c r="M116" s="37" t="s">
        <v>317</v>
      </c>
      <c r="N116" s="42"/>
      <c r="O116" s="42"/>
      <c r="P116" s="42"/>
      <c r="Q116" s="39">
        <f>IFERROR((Tabela3[[#This Row],[Aprovados]]*100)/Tabela3[[#This Row],[Matriculados]],0)</f>
        <v>0</v>
      </c>
      <c r="R116" s="43"/>
      <c r="S116" s="43"/>
      <c r="T116" s="43"/>
      <c r="U116" s="43"/>
    </row>
    <row r="117" spans="1:21" ht="28.5" x14ac:dyDescent="0.25">
      <c r="A117" s="43">
        <f>Tabela2[[#This Row],[Nº]]</f>
        <v>115</v>
      </c>
      <c r="B117" s="32" t="str">
        <f>Tabela2[[#This Row],[Abrev]]</f>
        <v>FBEMun</v>
      </c>
      <c r="C117" s="11" t="str">
        <f>'Controle adm. dos cursos'!D117</f>
        <v>Formação de Brigadistas Escolares Municipais</v>
      </c>
      <c r="D117" s="43" t="str">
        <f>Tabela2[[#This Row],[Nome curto]]</f>
        <v>FBEMun12025</v>
      </c>
      <c r="E117" s="43">
        <f>Tabela2[[#This Row],[Nº curso]]</f>
        <v>275</v>
      </c>
      <c r="F117" s="12" t="str">
        <f>'Controle adm. dos cursos'!G117</f>
        <v>I 2025</v>
      </c>
      <c r="G117" s="43">
        <f>'Controle adm. dos cursos'!H117</f>
        <v>2025</v>
      </c>
      <c r="H117" s="35">
        <v>45943</v>
      </c>
      <c r="I117" s="35">
        <v>45961</v>
      </c>
      <c r="J117" s="36">
        <v>60</v>
      </c>
      <c r="K117" s="12" t="s">
        <v>242</v>
      </c>
      <c r="L117" s="37" t="s">
        <v>241</v>
      </c>
      <c r="M117" s="37"/>
      <c r="N117" s="42"/>
      <c r="O117" s="42"/>
      <c r="P117" s="42"/>
      <c r="Q117" s="39">
        <f>IFERROR((Tabela3[[#This Row],[Aprovados]]*100)/Tabela3[[#This Row],[Matriculados]],0)</f>
        <v>0</v>
      </c>
      <c r="R117" s="43"/>
      <c r="S117" s="43"/>
      <c r="T117" s="43"/>
      <c r="U117" s="43"/>
    </row>
    <row r="118" spans="1:21" ht="15" x14ac:dyDescent="0.25">
      <c r="A118" s="43">
        <f>Tabela2[[#This Row],[Nº]]</f>
        <v>116</v>
      </c>
      <c r="B118" s="32">
        <f>Tabela2[[#This Row],[Abrev]]</f>
        <v>0</v>
      </c>
      <c r="C118" s="11">
        <f>'Controle adm. dos cursos'!D118</f>
        <v>0</v>
      </c>
      <c r="D118" s="43">
        <f>Tabela2[[#This Row],[Nome curto]]</f>
        <v>0</v>
      </c>
      <c r="E118" s="43">
        <f>Tabela2[[#This Row],[Nº curso]]</f>
        <v>0</v>
      </c>
      <c r="F118" s="12">
        <f>'Controle adm. dos cursos'!G118</f>
        <v>0</v>
      </c>
      <c r="G118" s="43">
        <f>'Controle adm. dos cursos'!H118</f>
        <v>0</v>
      </c>
      <c r="H118" s="35"/>
      <c r="I118" s="35"/>
      <c r="J118" s="36"/>
      <c r="K118" s="12"/>
      <c r="L118" s="37"/>
      <c r="M118" s="37"/>
      <c r="N118" s="42"/>
      <c r="O118" s="42"/>
      <c r="P118" s="42"/>
      <c r="Q118" s="39">
        <f>IFERROR((Tabela3[[#This Row],[Aprovados]]*100)/Tabela3[[#This Row],[Matriculados]],0)</f>
        <v>0</v>
      </c>
      <c r="R118" s="43"/>
      <c r="S118" s="43"/>
      <c r="T118" s="43"/>
      <c r="U118" s="43"/>
    </row>
    <row r="119" spans="1:21" ht="15" x14ac:dyDescent="0.25">
      <c r="A119" s="43">
        <f>Tabela2[[#This Row],[Nº]]</f>
        <v>117</v>
      </c>
      <c r="B119" s="32">
        <f>Tabela2[[#This Row],[Abrev]]</f>
        <v>0</v>
      </c>
      <c r="C119" s="11">
        <f>'Controle adm. dos cursos'!D119</f>
        <v>0</v>
      </c>
      <c r="D119" s="43">
        <f>Tabela2[[#This Row],[Nome curto]]</f>
        <v>0</v>
      </c>
      <c r="E119" s="43">
        <f>Tabela2[[#This Row],[Nº curso]]</f>
        <v>0</v>
      </c>
      <c r="F119" s="12">
        <f>'Controle adm. dos cursos'!G119</f>
        <v>0</v>
      </c>
      <c r="G119" s="43">
        <f>'Controle adm. dos cursos'!H119</f>
        <v>0</v>
      </c>
      <c r="H119" s="35"/>
      <c r="I119" s="35"/>
      <c r="J119" s="36"/>
      <c r="K119" s="12"/>
      <c r="L119" s="37"/>
      <c r="M119" s="37"/>
      <c r="N119" s="42"/>
      <c r="O119" s="42"/>
      <c r="P119" s="42"/>
      <c r="Q119" s="39">
        <f>IFERROR((Tabela3[[#This Row],[Aprovados]]*100)/Tabela3[[#This Row],[Matriculados]],0)</f>
        <v>0</v>
      </c>
      <c r="R119" s="43"/>
      <c r="S119" s="43"/>
      <c r="T119" s="43"/>
      <c r="U119" s="43"/>
    </row>
    <row r="120" spans="1:21" ht="15" x14ac:dyDescent="0.25">
      <c r="A120" s="43">
        <f>Tabela2[[#This Row],[Nº]]</f>
        <v>118</v>
      </c>
      <c r="B120" s="32">
        <f>Tabela2[[#This Row],[Abrev]]</f>
        <v>0</v>
      </c>
      <c r="C120" s="11">
        <f>'Controle adm. dos cursos'!D120</f>
        <v>0</v>
      </c>
      <c r="D120" s="43">
        <f>Tabela2[[#This Row],[Nome curto]]</f>
        <v>0</v>
      </c>
      <c r="E120" s="43">
        <f>Tabela2[[#This Row],[Nº curso]]</f>
        <v>0</v>
      </c>
      <c r="F120" s="12">
        <f>'Controle adm. dos cursos'!G120</f>
        <v>0</v>
      </c>
      <c r="G120" s="43">
        <f>'Controle adm. dos cursos'!H120</f>
        <v>0</v>
      </c>
      <c r="H120" s="35"/>
      <c r="I120" s="35"/>
      <c r="J120" s="36"/>
      <c r="K120" s="12"/>
      <c r="L120" s="37"/>
      <c r="M120" s="37"/>
      <c r="N120" s="42"/>
      <c r="O120" s="42"/>
      <c r="P120" s="42"/>
      <c r="Q120" s="39">
        <f>IFERROR((Tabela3[[#This Row],[Aprovados]]*100)/Tabela3[[#This Row],[Matriculados]],0)</f>
        <v>0</v>
      </c>
      <c r="R120" s="43"/>
      <c r="S120" s="43"/>
      <c r="T120" s="43"/>
      <c r="U120" s="43"/>
    </row>
    <row r="121" spans="1:21" ht="15" x14ac:dyDescent="0.25">
      <c r="A121" s="43">
        <f>Tabela2[[#This Row],[Nº]]</f>
        <v>119</v>
      </c>
      <c r="B121" s="32">
        <f>Tabela2[[#This Row],[Abrev]]</f>
        <v>0</v>
      </c>
      <c r="C121" s="11">
        <f>'Controle adm. dos cursos'!D121</f>
        <v>0</v>
      </c>
      <c r="D121" s="43">
        <f>Tabela2[[#This Row],[Nome curto]]</f>
        <v>0</v>
      </c>
      <c r="E121" s="43">
        <f>Tabela2[[#This Row],[Nº curso]]</f>
        <v>0</v>
      </c>
      <c r="F121" s="12">
        <f>'Controle adm. dos cursos'!G121</f>
        <v>0</v>
      </c>
      <c r="G121" s="43">
        <f>'Controle adm. dos cursos'!H121</f>
        <v>0</v>
      </c>
      <c r="H121" s="35"/>
      <c r="I121" s="35"/>
      <c r="J121" s="36"/>
      <c r="K121" s="12"/>
      <c r="L121" s="37"/>
      <c r="M121" s="37"/>
      <c r="N121" s="42"/>
      <c r="O121" s="42"/>
      <c r="P121" s="42"/>
      <c r="Q121" s="39">
        <f>IFERROR((Tabela3[[#This Row],[Aprovados]]*100)/Tabela3[[#This Row],[Matriculados]],0)</f>
        <v>0</v>
      </c>
      <c r="R121" s="43"/>
      <c r="S121" s="43"/>
      <c r="T121" s="43"/>
      <c r="U121" s="43"/>
    </row>
  </sheetData>
  <dataConsolidate/>
  <conditionalFormatting sqref="I92 H93:I93 H100:I101 H122:H1048576 H1:H45 H47:H92 H109:I111 H116:I116 I110:I113">
    <cfRule type="timePeriod" dxfId="91" priority="81" timePeriod="nextMonth">
      <formula>AND(MONTH(H1)=MONTH(EDATE(TODAY(),0+1)),YEAR(H1)=YEAR(EDATE(TODAY(),0+1)))</formula>
    </cfRule>
    <cfRule type="timePeriod" dxfId="90" priority="82" timePeriod="thisMonth">
      <formula>AND(MONTH(H1)=MONTH(TODAY()),YEAR(H1)=YEAR(TODAY()))</formula>
    </cfRule>
  </conditionalFormatting>
  <conditionalFormatting sqref="I122:I1048576 I100:I101 I1:I45 I47:I93 I116 I109:I113">
    <cfRule type="timePeriod" dxfId="89" priority="83" timePeriod="nextMonth">
      <formula>AND(MONTH(I1)=MONTH(EDATE(TODAY(),0+1)),YEAR(I1)=YEAR(EDATE(TODAY(),0+1)))</formula>
    </cfRule>
    <cfRule type="timePeriod" dxfId="88" priority="84" timePeriod="thisMonth">
      <formula>AND(MONTH(I1)=MONTH(TODAY()),YEAR(I1)=YEAR(TODAY()))</formula>
    </cfRule>
    <cfRule type="timePeriod" dxfId="87" priority="85" timePeriod="yesterday">
      <formula>FLOOR(I1,1)=TODAY()-1</formula>
    </cfRule>
    <cfRule type="timePeriod" dxfId="86" priority="86" timePeriod="thisWeek">
      <formula>AND(TODAY()-ROUNDDOWN(I1,0)&lt;=WEEKDAY(TODAY())-1,ROUNDDOWN(I1,0)-TODAY()&lt;=7-WEEKDAY(TODAY()))</formula>
    </cfRule>
  </conditionalFormatting>
  <conditionalFormatting sqref="H34 H84:J93 H122:J1048576 H100:J101 Q100:Q101 H43:K45 H47:K73 K46 Q3:Q93 H109:J111 H116:J116 I110:I113">
    <cfRule type="cellIs" dxfId="85" priority="87" operator="equal">
      <formula>0</formula>
    </cfRule>
  </conditionalFormatting>
  <conditionalFormatting sqref="H34">
    <cfRule type="cellIs" dxfId="84" priority="88" operator="equal">
      <formula>0</formula>
    </cfRule>
  </conditionalFormatting>
  <conditionalFormatting sqref="I42:K42 H75:K75 J74:K74 J76:K76 J78:K81 K77 H81:I81 H82:K83 F3:H3 H3:K41 C3:E121 F4:G121">
    <cfRule type="cellIs" dxfId="83" priority="89" operator="equal">
      <formula>0</formula>
    </cfRule>
  </conditionalFormatting>
  <conditionalFormatting sqref="H94:I99">
    <cfRule type="timePeriod" dxfId="82" priority="64" timePeriod="nextMonth">
      <formula>AND(MONTH(H94)=MONTH(EDATE(TODAY(),0+1)),YEAR(H94)=YEAR(EDATE(TODAY(),0+1)))</formula>
    </cfRule>
    <cfRule type="timePeriod" dxfId="81" priority="65" timePeriod="thisMonth">
      <formula>AND(MONTH(H94)=MONTH(TODAY()),YEAR(H94)=YEAR(TODAY()))</formula>
    </cfRule>
  </conditionalFormatting>
  <conditionalFormatting sqref="I94:I99">
    <cfRule type="timePeriod" dxfId="80" priority="66" timePeriod="nextMonth">
      <formula>AND(MONTH(I94)=MONTH(EDATE(TODAY(),0+1)),YEAR(I94)=YEAR(EDATE(TODAY(),0+1)))</formula>
    </cfRule>
    <cfRule type="timePeriod" dxfId="79" priority="67" timePeriod="thisMonth">
      <formula>AND(MONTH(I94)=MONTH(TODAY()),YEAR(I94)=YEAR(TODAY()))</formula>
    </cfRule>
    <cfRule type="timePeriod" dxfId="78" priority="68" timePeriod="yesterday">
      <formula>FLOOR(I94,1)=TODAY()-1</formula>
    </cfRule>
    <cfRule type="timePeriod" dxfId="77" priority="69" timePeriod="thisWeek">
      <formula>AND(TODAY()-ROUNDDOWN(I94,0)&lt;=WEEKDAY(TODAY())-1,ROUNDDOWN(I94,0)-TODAY()&lt;=7-WEEKDAY(TODAY()))</formula>
    </cfRule>
  </conditionalFormatting>
  <conditionalFormatting sqref="H94:J99">
    <cfRule type="cellIs" dxfId="76" priority="70" operator="equal">
      <formula>0</formula>
    </cfRule>
  </conditionalFormatting>
  <conditionalFormatting sqref="Q94:Q99">
    <cfRule type="cellIs" dxfId="75" priority="71" operator="equal">
      <formula>0</formula>
    </cfRule>
  </conditionalFormatting>
  <conditionalFormatting sqref="H102:I102">
    <cfRule type="timePeriod" dxfId="74" priority="48" timePeriod="nextMonth">
      <formula>AND(MONTH(H102)=MONTH(EDATE(TODAY(),0+1)),YEAR(H102)=YEAR(EDATE(TODAY(),0+1)))</formula>
    </cfRule>
    <cfRule type="timePeriod" dxfId="73" priority="49" timePeriod="thisMonth">
      <formula>AND(MONTH(H102)=MONTH(TODAY()),YEAR(H102)=YEAR(TODAY()))</formula>
    </cfRule>
  </conditionalFormatting>
  <conditionalFormatting sqref="I102">
    <cfRule type="timePeriod" dxfId="72" priority="50" timePeriod="nextMonth">
      <formula>AND(MONTH(I102)=MONTH(EDATE(TODAY(),0+1)),YEAR(I102)=YEAR(EDATE(TODAY(),0+1)))</formula>
    </cfRule>
    <cfRule type="timePeriod" dxfId="71" priority="51" timePeriod="thisMonth">
      <formula>AND(MONTH(I102)=MONTH(TODAY()),YEAR(I102)=YEAR(TODAY()))</formula>
    </cfRule>
    <cfRule type="timePeriod" dxfId="70" priority="52" timePeriod="yesterday">
      <formula>FLOOR(I102,1)=TODAY()-1</formula>
    </cfRule>
    <cfRule type="timePeriod" dxfId="69" priority="53" timePeriod="thisWeek">
      <formula>AND(TODAY()-ROUNDDOWN(I102,0)&lt;=WEEKDAY(TODAY())-1,ROUNDDOWN(I102,0)-TODAY()&lt;=7-WEEKDAY(TODAY()))</formula>
    </cfRule>
  </conditionalFormatting>
  <conditionalFormatting sqref="H102:J102 Q102">
    <cfRule type="cellIs" dxfId="68" priority="54" operator="equal">
      <formula>0</formula>
    </cfRule>
  </conditionalFormatting>
  <conditionalFormatting sqref="H103:I104">
    <cfRule type="timePeriod" dxfId="67" priority="39" timePeriod="nextMonth">
      <formula>AND(MONTH(H103)=MONTH(EDATE(TODAY(),0+1)),YEAR(H103)=YEAR(EDATE(TODAY(),0+1)))</formula>
    </cfRule>
    <cfRule type="timePeriod" dxfId="66" priority="40" timePeriod="thisMonth">
      <formula>AND(MONTH(H103)=MONTH(TODAY()),YEAR(H103)=YEAR(TODAY()))</formula>
    </cfRule>
  </conditionalFormatting>
  <conditionalFormatting sqref="I103:I104">
    <cfRule type="timePeriod" dxfId="65" priority="41" timePeriod="nextMonth">
      <formula>AND(MONTH(I103)=MONTH(EDATE(TODAY(),0+1)),YEAR(I103)=YEAR(EDATE(TODAY(),0+1)))</formula>
    </cfRule>
    <cfRule type="timePeriod" dxfId="64" priority="42" timePeriod="thisMonth">
      <formula>AND(MONTH(I103)=MONTH(TODAY()),YEAR(I103)=YEAR(TODAY()))</formula>
    </cfRule>
    <cfRule type="timePeriod" dxfId="63" priority="43" timePeriod="yesterday">
      <formula>FLOOR(I103,1)=TODAY()-1</formula>
    </cfRule>
    <cfRule type="timePeriod" dxfId="62" priority="44" timePeriod="thisWeek">
      <formula>AND(TODAY()-ROUNDDOWN(I103,0)&lt;=WEEKDAY(TODAY())-1,ROUNDDOWN(I103,0)-TODAY()&lt;=7-WEEKDAY(TODAY()))</formula>
    </cfRule>
  </conditionalFormatting>
  <conditionalFormatting sqref="Q103:Q104 H103:J104">
    <cfRule type="cellIs" dxfId="61" priority="45" operator="equal">
      <formula>0</formula>
    </cfRule>
  </conditionalFormatting>
  <conditionalFormatting sqref="H105:I106 H117:I121">
    <cfRule type="timePeriod" dxfId="60" priority="19" timePeriod="nextMonth">
      <formula>AND(MONTH(H105)=MONTH(EDATE(TODAY(),0+1)),YEAR(H105)=YEAR(EDATE(TODAY(),0+1)))</formula>
    </cfRule>
    <cfRule type="timePeriod" dxfId="59" priority="20" timePeriod="thisMonth">
      <formula>AND(MONTH(H105)=MONTH(TODAY()),YEAR(H105)=YEAR(TODAY()))</formula>
    </cfRule>
  </conditionalFormatting>
  <conditionalFormatting sqref="I105:I106 I117:I121">
    <cfRule type="timePeriod" dxfId="58" priority="21" timePeriod="nextMonth">
      <formula>AND(MONTH(I105)=MONTH(EDATE(TODAY(),0+1)),YEAR(I105)=YEAR(EDATE(TODAY(),0+1)))</formula>
    </cfRule>
    <cfRule type="timePeriod" dxfId="57" priority="22" timePeriod="thisMonth">
      <formula>AND(MONTH(I105)=MONTH(TODAY()),YEAR(I105)=YEAR(TODAY()))</formula>
    </cfRule>
    <cfRule type="timePeriod" dxfId="56" priority="23" timePeriod="yesterday">
      <formula>FLOOR(I105,1)=TODAY()-1</formula>
    </cfRule>
    <cfRule type="timePeriod" dxfId="55" priority="24" timePeriod="thisWeek">
      <formula>AND(TODAY()-ROUNDDOWN(I105,0)&lt;=WEEKDAY(TODAY())-1,ROUNDDOWN(I105,0)-TODAY()&lt;=7-WEEKDAY(TODAY()))</formula>
    </cfRule>
  </conditionalFormatting>
  <conditionalFormatting sqref="H105:J106 Q105:Q121 H117:J121">
    <cfRule type="cellIs" dxfId="54" priority="25" operator="equal">
      <formula>0</formula>
    </cfRule>
  </conditionalFormatting>
  <conditionalFormatting sqref="H107:I107">
    <cfRule type="timePeriod" dxfId="53" priority="12" timePeriod="nextMonth">
      <formula>AND(MONTH(H107)=MONTH(EDATE(TODAY(),0+1)),YEAR(H107)=YEAR(EDATE(TODAY(),0+1)))</formula>
    </cfRule>
    <cfRule type="timePeriod" dxfId="52" priority="13" timePeriod="thisMonth">
      <formula>AND(MONTH(H107)=MONTH(TODAY()),YEAR(H107)=YEAR(TODAY()))</formula>
    </cfRule>
  </conditionalFormatting>
  <conditionalFormatting sqref="I107">
    <cfRule type="timePeriod" dxfId="51" priority="14" timePeriod="nextMonth">
      <formula>AND(MONTH(I107)=MONTH(EDATE(TODAY(),0+1)),YEAR(I107)=YEAR(EDATE(TODAY(),0+1)))</formula>
    </cfRule>
    <cfRule type="timePeriod" dxfId="50" priority="15" timePeriod="thisMonth">
      <formula>AND(MONTH(I107)=MONTH(TODAY()),YEAR(I107)=YEAR(TODAY()))</formula>
    </cfRule>
    <cfRule type="timePeriod" dxfId="49" priority="16" timePeriod="yesterday">
      <formula>FLOOR(I107,1)=TODAY()-1</formula>
    </cfRule>
    <cfRule type="timePeriod" dxfId="48" priority="17" timePeriod="thisWeek">
      <formula>AND(TODAY()-ROUNDDOWN(I107,0)&lt;=WEEKDAY(TODAY())-1,ROUNDDOWN(I107,0)-TODAY()&lt;=7-WEEKDAY(TODAY()))</formula>
    </cfRule>
  </conditionalFormatting>
  <conditionalFormatting sqref="H107:J107">
    <cfRule type="cellIs" dxfId="47" priority="18" operator="equal">
      <formula>0</formula>
    </cfRule>
  </conditionalFormatting>
  <conditionalFormatting sqref="H108:I108">
    <cfRule type="timePeriod" dxfId="46" priority="5" timePeriod="nextMonth">
      <formula>AND(MONTH(H108)=MONTH(EDATE(TODAY(),0+1)),YEAR(H108)=YEAR(EDATE(TODAY(),0+1)))</formula>
    </cfRule>
    <cfRule type="timePeriod" dxfId="45" priority="6" timePeriod="thisMonth">
      <formula>AND(MONTH(H108)=MONTH(TODAY()),YEAR(H108)=YEAR(TODAY()))</formula>
    </cfRule>
  </conditionalFormatting>
  <conditionalFormatting sqref="I108">
    <cfRule type="timePeriod" dxfId="44" priority="7" timePeriod="nextMonth">
      <formula>AND(MONTH(I108)=MONTH(EDATE(TODAY(),0+1)),YEAR(I108)=YEAR(EDATE(TODAY(),0+1)))</formula>
    </cfRule>
    <cfRule type="timePeriod" dxfId="43" priority="8" timePeriod="thisMonth">
      <formula>AND(MONTH(I108)=MONTH(TODAY()),YEAR(I108)=YEAR(TODAY()))</formula>
    </cfRule>
    <cfRule type="timePeriod" dxfId="42" priority="9" timePeriod="yesterday">
      <formula>FLOOR(I108,1)=TODAY()-1</formula>
    </cfRule>
    <cfRule type="timePeriod" dxfId="41" priority="10" timePeriod="thisWeek">
      <formula>AND(TODAY()-ROUNDDOWN(I108,0)&lt;=WEEKDAY(TODAY())-1,ROUNDDOWN(I108,0)-TODAY()&lt;=7-WEEKDAY(TODAY()))</formula>
    </cfRule>
  </conditionalFormatting>
  <conditionalFormatting sqref="H108:J108">
    <cfRule type="cellIs" dxfId="40" priority="11" operator="equal">
      <formula>0</formula>
    </cfRule>
  </conditionalFormatting>
  <conditionalFormatting sqref="H112:I115">
    <cfRule type="timePeriod" dxfId="39" priority="2" timePeriod="nextMonth">
      <formula>AND(MONTH(H112)=MONTH(EDATE(TODAY(),0+1)),YEAR(H112)=YEAR(EDATE(TODAY(),0+1)))</formula>
    </cfRule>
    <cfRule type="timePeriod" dxfId="38" priority="3" timePeriod="thisMonth">
      <formula>AND(MONTH(H112)=MONTH(TODAY()),YEAR(H112)=YEAR(TODAY()))</formula>
    </cfRule>
  </conditionalFormatting>
  <conditionalFormatting sqref="H112:I115">
    <cfRule type="cellIs" dxfId="37" priority="4" operator="equal">
      <formula>0</formula>
    </cfRule>
  </conditionalFormatting>
  <conditionalFormatting sqref="J112:J113">
    <cfRule type="cellIs" dxfId="36" priority="1" operator="equal">
      <formula>0</formula>
    </cfRule>
  </conditionalFormatting>
  <dataValidations count="8">
    <dataValidation type="list" allowBlank="1" showInputMessage="1" showErrorMessage="1" sqref="M56:M65">
      <formula1>"CEDEC,CEPED"</formula1>
    </dataValidation>
    <dataValidation type="list" allowBlank="1" showInputMessage="1" showErrorMessage="1" sqref="M66:M69">
      <formula1>"CEDEC,CEPED,SEED"</formula1>
    </dataValidation>
    <dataValidation type="list" allowBlank="1" showInputMessage="1" showErrorMessage="1" sqref="M70:M81 M84:M89">
      <formula1>"CEDEC,CEPED,SEED,CEDEC/BM"</formula1>
    </dataValidation>
    <dataValidation type="list" allowBlank="1" showInputMessage="1" showErrorMessage="1" sqref="M82:M83 M12:M21 M23:M27 M4:M10 M29:M37 M39:M41 M43 M54:M55 M51:M52 M45:M49">
      <formula1>"CEDEC,CEPED,SEED,CEDEC/BM,CEDEC/BM/SEDEST"</formula1>
    </dataValidation>
    <dataValidation type="list" allowBlank="1" showInputMessage="1" showErrorMessage="1" sqref="M22 M28 M90:M93 M97 M99 M101 M103 M105:M106 M117">
      <formula1>"CEDEC,CEPED,SEED,CEDEC/BM,CEDEC/BM/SEDEST,CEDEC/BM/IAT,"</formula1>
    </dataValidation>
    <dataValidation type="list" allowBlank="1" showInputMessage="1" showErrorMessage="1" sqref="M3 M11 M38 M42 M44 M50 M53 M94:M96 M98 M100 M102 M104 M118:M121 M107:M116">
      <formula1>"CEDEC,CEPED,SEED,CEDEC/BM,CEDEC/IAT,CEDEC/BM/SEDEST"</formula1>
    </dataValidation>
    <dataValidation type="list" allowBlank="1" showInputMessage="1" showErrorMessage="1" sqref="L3:L121">
      <formula1>"Presencial,Semipresencial,A Distância (EaD)"</formula1>
      <formula2>0</formula2>
    </dataValidation>
    <dataValidation type="list" allowBlank="1" showInputMessage="1" showErrorMessage="1" sqref="K3:K121">
      <formula1>"lista,autoiscrição com senha,autoiscrição"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ignoredErrors>
    <ignoredError sqref="B122:B157 B3:B114 B115:B121" unlockedFormula="1"/>
    <ignoredError sqref="M80 M68 M65" listDataValidation="1"/>
  </ignoredErrors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="160" zoomScaleNormal="160" workbookViewId="0">
      <selection activeCell="I7" sqref="I7"/>
    </sheetView>
  </sheetViews>
  <sheetFormatPr defaultColWidth="9.140625" defaultRowHeight="14.25" x14ac:dyDescent="0.25"/>
  <cols>
    <col min="1" max="1" width="35.42578125" style="44" customWidth="1"/>
    <col min="2" max="2" width="11.5703125" style="15" customWidth="1"/>
    <col min="3" max="3" width="10.85546875" style="15" customWidth="1"/>
    <col min="4" max="4" width="12.7109375" style="15" customWidth="1"/>
    <col min="5" max="5" width="9.85546875" style="15" customWidth="1"/>
    <col min="6" max="6" width="8.42578125" style="15" customWidth="1"/>
    <col min="7" max="8" width="11.5703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53" t="s">
        <v>246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x14ac:dyDescent="0.25">
      <c r="A2" s="45"/>
      <c r="B2" s="154" t="s">
        <v>247</v>
      </c>
      <c r="C2" s="155" t="s">
        <v>248</v>
      </c>
      <c r="D2" s="155"/>
      <c r="E2" s="155"/>
      <c r="F2" s="155"/>
      <c r="G2" s="155"/>
      <c r="H2" s="155"/>
      <c r="I2" s="155"/>
      <c r="J2" s="155"/>
    </row>
    <row r="3" spans="1:10" ht="33.75" x14ac:dyDescent="0.25">
      <c r="A3" s="46"/>
      <c r="B3" s="154"/>
      <c r="C3" s="47" t="s">
        <v>229</v>
      </c>
      <c r="D3" s="47" t="s">
        <v>230</v>
      </c>
      <c r="E3" s="47" t="s">
        <v>231</v>
      </c>
      <c r="F3" s="47" t="s">
        <v>249</v>
      </c>
      <c r="G3" s="47" t="s">
        <v>233</v>
      </c>
      <c r="H3" s="47" t="s">
        <v>234</v>
      </c>
      <c r="I3" s="47" t="s">
        <v>235</v>
      </c>
      <c r="J3" s="48" t="s">
        <v>236</v>
      </c>
    </row>
    <row r="4" spans="1:10" ht="15.75" thickBot="1" x14ac:dyDescent="0.3">
      <c r="A4" s="49" t="s">
        <v>250</v>
      </c>
      <c r="B4" s="50">
        <f>COUNT(Tabela2[Ano])</f>
        <v>115</v>
      </c>
      <c r="C4" s="51">
        <f>'Resumo dos cursos'!N1</f>
        <v>34707</v>
      </c>
      <c r="D4" s="51">
        <f>'Resumo dos cursos'!O1</f>
        <v>34682</v>
      </c>
      <c r="E4" s="51">
        <f>'Resumo dos cursos'!P1</f>
        <v>26528</v>
      </c>
      <c r="F4" s="52">
        <f t="shared" ref="F4:F14" si="0">IFERROR(((E4*100)/D4),0)</f>
        <v>76.489245141571999</v>
      </c>
      <c r="G4" s="51">
        <f>'Resumo dos cursos'!R1</f>
        <v>1627</v>
      </c>
      <c r="H4" s="51">
        <f>'Resumo dos cursos'!S1</f>
        <v>1555</v>
      </c>
      <c r="I4" s="51">
        <f>'Resumo dos cursos'!T1</f>
        <v>4254</v>
      </c>
      <c r="J4" s="53">
        <f>'Resumo dos cursos'!U1</f>
        <v>432</v>
      </c>
    </row>
    <row r="5" spans="1:10" x14ac:dyDescent="0.25">
      <c r="A5" s="54" t="s">
        <v>251</v>
      </c>
      <c r="B5" s="55">
        <f>COUNTIF(Tabela3[Modalidade de Ensino],"Presencial")</f>
        <v>9</v>
      </c>
      <c r="C5" s="61">
        <f>SUMIF('Resumo dos cursos'!L:L,"Presencial",'Resumo dos cursos'!N:N)</f>
        <v>378</v>
      </c>
      <c r="D5" s="56">
        <f>SUMIF('Resumo dos cursos'!L:L,"Presencial",'Resumo dos cursos'!O:O)</f>
        <v>378</v>
      </c>
      <c r="E5" s="56">
        <f>SUMIF('Resumo dos cursos'!L:L,"Presencial",'Resumo dos cursos'!P:P)</f>
        <v>378</v>
      </c>
      <c r="F5" s="57">
        <f t="shared" si="0"/>
        <v>100</v>
      </c>
      <c r="G5" s="56">
        <f>SUMIF('Resumo dos cursos'!L:L,"Presencial",'Resumo dos cursos'!R:R)</f>
        <v>0</v>
      </c>
      <c r="H5" s="56">
        <f>SUMIF('Resumo dos cursos'!L:L,"Presencial",'Resumo dos cursos'!S:S)</f>
        <v>0</v>
      </c>
      <c r="I5" s="56">
        <f>SUMIF('Resumo dos cursos'!L:L,"Presencial",'Resumo dos cursos'!T:T)</f>
        <v>0</v>
      </c>
      <c r="J5" s="58">
        <f>SUMIF('Resumo dos cursos'!L:L,"Presencial",'Resumo dos cursos'!U:U)</f>
        <v>0</v>
      </c>
    </row>
    <row r="6" spans="1:10" x14ac:dyDescent="0.25">
      <c r="A6" s="59" t="s">
        <v>252</v>
      </c>
      <c r="B6" s="60">
        <f>COUNTIF(Tabela3[Modalidade de Ensino],"A Distância (EaD)")</f>
        <v>81</v>
      </c>
      <c r="C6" s="61">
        <f>SUMIF('Resumo dos cursos'!L:L,"A Distância (EaD)",'Resumo dos cursos'!N:N)</f>
        <v>32042</v>
      </c>
      <c r="D6" s="61">
        <f>SUMIF('Resumo dos cursos'!L:L,"A Distância (EaD)",'Resumo dos cursos'!O:O)</f>
        <v>32017</v>
      </c>
      <c r="E6" s="61">
        <f>SUMIF('Resumo dos cursos'!L:L,"A Distância (EaD)",'Resumo dos cursos'!P:P)</f>
        <v>24740</v>
      </c>
      <c r="F6" s="57">
        <f t="shared" si="0"/>
        <v>77.271449542430588</v>
      </c>
      <c r="G6" s="61">
        <f>SUMIF('Resumo dos cursos'!L:L,"A Distância (EaD)",'Resumo dos cursos'!R:R)</f>
        <v>1532</v>
      </c>
      <c r="H6" s="61">
        <f>SUMIF('Resumo dos cursos'!L:L,"A Distância (EaD)",'Resumo dos cursos'!S:S)</f>
        <v>1328</v>
      </c>
      <c r="I6" s="61">
        <f>SUMIF('Resumo dos cursos'!L:L,"A Distância (EaD)",'Resumo dos cursos'!T:T)</f>
        <v>4004</v>
      </c>
      <c r="J6" s="62">
        <f>SUMIF('Resumo dos cursos'!L:L,"A Distância (EaD)",'Resumo dos cursos'!U:U)</f>
        <v>360</v>
      </c>
    </row>
    <row r="7" spans="1:10" ht="29.25" thickBot="1" x14ac:dyDescent="0.3">
      <c r="A7" s="63" t="s">
        <v>253</v>
      </c>
      <c r="B7" s="64">
        <f>COUNTIF(Tabela3[Modalidade de Ensino],"Semipresencial")</f>
        <v>25</v>
      </c>
      <c r="C7" s="61">
        <f>SUMIF('Resumo dos cursos'!L:L,"Semipresencial",'Resumo dos cursos'!N:N)</f>
        <v>2287</v>
      </c>
      <c r="D7" s="65">
        <f>SUMIF('Resumo dos cursos'!L:L,"Semipresencial",'Resumo dos cursos'!O:O)</f>
        <v>2287</v>
      </c>
      <c r="E7" s="65">
        <f>SUMIF('Resumo dos cursos'!L:L,"Semipresencial",'Resumo dos cursos'!P:P)</f>
        <v>1410</v>
      </c>
      <c r="F7" s="66">
        <f t="shared" si="0"/>
        <v>61.652820288587669</v>
      </c>
      <c r="G7" s="65">
        <f>SUMIF('Resumo dos cursos'!L:L,"Semipresencial",'Resumo dos cursos'!R:R)</f>
        <v>95</v>
      </c>
      <c r="H7" s="65">
        <f>SUMIF('Resumo dos cursos'!L:L,"Semipresencial",'Resumo dos cursos'!S:S)</f>
        <v>227</v>
      </c>
      <c r="I7" s="65">
        <f>SUMIF('Resumo dos cursos'!L:L,"Semipresencial",'Resumo dos cursos'!T:T)</f>
        <v>250</v>
      </c>
      <c r="J7" s="67">
        <f>SUMIF('Resumo dos cursos'!L:L,"Semipresencial",'Resumo dos cursos'!U:U)</f>
        <v>72</v>
      </c>
    </row>
    <row r="8" spans="1:10" x14ac:dyDescent="0.25">
      <c r="A8" s="68" t="s">
        <v>254</v>
      </c>
      <c r="B8" s="69">
        <f>COUNTIF(Tabela3[Ano],"2019")</f>
        <v>7</v>
      </c>
      <c r="C8" s="70">
        <f ca="1">SUMIF('Controle adm. dos cursos'!H:H,"2019",Tabela3[[#Headers],[Inscritos]])</f>
        <v>718</v>
      </c>
      <c r="D8" s="61">
        <f>SUMIF('Controle adm. dos cursos'!H:H,"2019",'Resumo dos cursos'!O:O)</f>
        <v>675</v>
      </c>
      <c r="E8" s="61">
        <f>SUMIF('Controle adm. dos cursos'!H:H,"2019",'Resumo dos cursos'!P:P)</f>
        <v>468</v>
      </c>
      <c r="F8" s="71">
        <f t="shared" si="0"/>
        <v>69.333333333333329</v>
      </c>
      <c r="G8" s="61">
        <f>SUMIF('Controle adm. dos cursos'!H:H,"2019",'Resumo dos cursos'!R:R)</f>
        <v>29</v>
      </c>
      <c r="H8" s="61">
        <f>SUMIF('Controle adm. dos cursos'!H:H,"2019",'Resumo dos cursos'!S:S)</f>
        <v>22</v>
      </c>
      <c r="I8" s="61">
        <f>SUMIF('Controle adm. dos cursos'!H:H,"2019",'Resumo dos cursos'!T:T)</f>
        <v>33</v>
      </c>
      <c r="J8" s="62">
        <f>SUMIF('Controle adm. dos cursos'!H:H,"2019",'Resumo dos cursos'!U:U)</f>
        <v>123</v>
      </c>
    </row>
    <row r="9" spans="1:10" x14ac:dyDescent="0.25">
      <c r="A9" s="59" t="s">
        <v>255</v>
      </c>
      <c r="B9" s="60">
        <f>COUNTIF(Tabela3[Ano],"2020")</f>
        <v>4</v>
      </c>
      <c r="C9" s="61">
        <f>SUMIF('Controle adm. dos cursos'!H:H,"2020",'Resumo dos cursos'!N:N)</f>
        <v>332</v>
      </c>
      <c r="D9" s="61">
        <f>SUMIF('Controle adm. dos cursos'!H:H,"2020",'Resumo dos cursos'!O:O)</f>
        <v>332</v>
      </c>
      <c r="E9" s="61">
        <f>SUMIF('Controle adm. dos cursos'!H:H,"2020",'Resumo dos cursos'!P:P)</f>
        <v>239</v>
      </c>
      <c r="F9" s="71">
        <f t="shared" si="0"/>
        <v>71.98795180722891</v>
      </c>
      <c r="G9" s="61">
        <f>SUMIF('Controle adm. dos cursos'!H:H,"2020",'Resumo dos cursos'!R:R)</f>
        <v>7</v>
      </c>
      <c r="H9" s="61">
        <f>SUMIF('Controle adm. dos cursos'!H:H,"2020",'Resumo dos cursos'!S:S)</f>
        <v>9</v>
      </c>
      <c r="I9" s="61">
        <f>SUMIF('Controle adm. dos cursos'!H:H,"2020",'Resumo dos cursos'!T:T)</f>
        <v>15</v>
      </c>
      <c r="J9" s="62">
        <f>SUMIF('Controle adm. dos cursos'!H:H,"2020",'Resumo dos cursos'!U:U)</f>
        <v>62</v>
      </c>
    </row>
    <row r="10" spans="1:10" x14ac:dyDescent="0.25">
      <c r="A10" s="59" t="s">
        <v>256</v>
      </c>
      <c r="B10" s="60">
        <f>COUNTIF(Tabela3[Ano],"2021")</f>
        <v>6</v>
      </c>
      <c r="C10" s="61">
        <f>SUMIF('Controle adm. dos cursos'!H:H,"2021",'Resumo dos cursos'!N:N)</f>
        <v>452</v>
      </c>
      <c r="D10" s="61">
        <f>SUMIF('Controle adm. dos cursos'!H:H,"2021",'Resumo dos cursos'!O:O)</f>
        <v>452</v>
      </c>
      <c r="E10" s="61">
        <f>SUMIF('Controle adm. dos cursos'!H:H,"2021",'Resumo dos cursos'!P:P)</f>
        <v>280</v>
      </c>
      <c r="F10" s="57">
        <f t="shared" si="0"/>
        <v>61.946902654867259</v>
      </c>
      <c r="G10" s="61">
        <f>SUMIF('Controle adm. dos cursos'!H:H,"2021",'Resumo dos cursos'!R:R)</f>
        <v>16</v>
      </c>
      <c r="H10" s="61">
        <f>SUMIF('Controle adm. dos cursos'!H:H,"2021",'Resumo dos cursos'!S:S)</f>
        <v>80</v>
      </c>
      <c r="I10" s="61">
        <f>SUMIF('Controle adm. dos cursos'!H:H,"2021",'Resumo dos cursos'!T:T)</f>
        <v>32</v>
      </c>
      <c r="J10" s="62">
        <f>SUMIF('Controle adm. dos cursos'!H:H,"2021",'Resumo dos cursos'!U:U)</f>
        <v>44</v>
      </c>
    </row>
    <row r="11" spans="1:10" x14ac:dyDescent="0.25">
      <c r="A11" s="59" t="s">
        <v>257</v>
      </c>
      <c r="B11" s="60">
        <f>COUNTIF(Tabela3[Ano],"2022")</f>
        <v>15</v>
      </c>
      <c r="C11" s="61">
        <f>SUMIF('Controle adm. dos cursos'!H:H,"2022",'Resumo dos cursos'!N:N)</f>
        <v>2225</v>
      </c>
      <c r="D11" s="61">
        <f>SUMIF('Controle adm. dos cursos'!H:H,"2022",'Resumo dos cursos'!O:O)</f>
        <v>2225</v>
      </c>
      <c r="E11" s="61">
        <f>SUMIF('Controle adm. dos cursos'!H:H,"2022",'Resumo dos cursos'!P:P)</f>
        <v>1592</v>
      </c>
      <c r="F11" s="57">
        <f t="shared" si="0"/>
        <v>71.550561797752806</v>
      </c>
      <c r="G11" s="61">
        <f>SUMIF('Controle adm. dos cursos'!H:H,"2022",'Resumo dos cursos'!R:R)</f>
        <v>73</v>
      </c>
      <c r="H11" s="61">
        <f>SUMIF('Controle adm. dos cursos'!H:H,"2022",'Resumo dos cursos'!S:S)</f>
        <v>70</v>
      </c>
      <c r="I11" s="61">
        <f>SUMIF('Controle adm. dos cursos'!H:H,"2022",'Resumo dos cursos'!T:T)</f>
        <v>287</v>
      </c>
      <c r="J11" s="62">
        <f>SUMIF('Controle adm. dos cursos'!H:H,"2022",'Resumo dos cursos'!U:U)</f>
        <v>203</v>
      </c>
    </row>
    <row r="12" spans="1:10" x14ac:dyDescent="0.25">
      <c r="A12" s="59" t="s">
        <v>258</v>
      </c>
      <c r="B12" s="60">
        <f>COUNTIF(Tabela3[Ano],"2023")</f>
        <v>19</v>
      </c>
      <c r="C12" s="61">
        <f>SUMIF('Controle adm. dos cursos'!H:H,"2023",'Resumo dos cursos'!N:N)</f>
        <v>15462</v>
      </c>
      <c r="D12" s="61">
        <f>SUMIF('Controle adm. dos cursos'!H:H,"2023",'Resumo dos cursos'!O:O)</f>
        <v>15462</v>
      </c>
      <c r="E12" s="61">
        <f>SUMIF('Controle adm. dos cursos'!H:H,"2023",'Resumo dos cursos'!P:P)</f>
        <v>11877</v>
      </c>
      <c r="F12" s="57">
        <f t="shared" si="0"/>
        <v>76.81412495149398</v>
      </c>
      <c r="G12" s="61">
        <f>SUMIF('Controle adm. dos cursos'!H:H,"2023",'Resumo dos cursos'!R:R)</f>
        <v>941</v>
      </c>
      <c r="H12" s="61">
        <f>SUMIF('Controle adm. dos cursos'!H:H,"2023",'Resumo dos cursos'!S:S)</f>
        <v>832</v>
      </c>
      <c r="I12" s="61">
        <f>SUMIF('Controle adm. dos cursos'!H:H,"2023",'Resumo dos cursos'!T:T)</f>
        <v>1811</v>
      </c>
      <c r="J12" s="62">
        <f>SUMIF('Controle adm. dos cursos'!H:H,"2023",'Resumo dos cursos'!U:U)</f>
        <v>0</v>
      </c>
    </row>
    <row r="13" spans="1:10" x14ac:dyDescent="0.25">
      <c r="A13" s="59" t="s">
        <v>259</v>
      </c>
      <c r="B13" s="60">
        <f>COUNTIF(Tabela3[Ano],"2024")</f>
        <v>35</v>
      </c>
      <c r="C13" s="61">
        <f>SUMIF('Controle adm. dos cursos'!H:H,"2024",'Resumo dos cursos'!N:N)</f>
        <v>8726</v>
      </c>
      <c r="D13" s="61">
        <f>SUMIF('Controle adm. dos cursos'!H:H,"2024",'Resumo dos cursos'!O:O)</f>
        <v>8726</v>
      </c>
      <c r="E13" s="61">
        <f>SUMIF('Controle adm. dos cursos'!H:H,"2024",'Resumo dos cursos'!P:P)</f>
        <v>6719</v>
      </c>
      <c r="F13" s="57">
        <f t="shared" si="0"/>
        <v>76.999770799908319</v>
      </c>
      <c r="G13" s="61">
        <f>SUMIF('Controle adm. dos cursos'!H:H,"2024",'Resumo dos cursos'!R:R)</f>
        <v>408</v>
      </c>
      <c r="H13" s="61">
        <f>SUMIF('Controle adm. dos cursos'!H:H,"2024",'Resumo dos cursos'!S:S)</f>
        <v>291</v>
      </c>
      <c r="I13" s="61">
        <f>SUMIF('Controle adm. dos cursos'!H:H,"2024",'Resumo dos cursos'!T:T)</f>
        <v>1244</v>
      </c>
      <c r="J13" s="62">
        <f>SUMIF('Controle adm. dos cursos'!H:H,"2024",'Resumo dos cursos'!U:U)</f>
        <v>0</v>
      </c>
    </row>
    <row r="14" spans="1:10" ht="15" thickBot="1" x14ac:dyDescent="0.3">
      <c r="A14" s="72" t="s">
        <v>260</v>
      </c>
      <c r="B14" s="64">
        <f>COUNTIF(Tabela3[Ano],"2025")</f>
        <v>29</v>
      </c>
      <c r="C14" s="73">
        <f>SUMIF('Controle adm. dos cursos'!H:H,"2025",'Resumo dos cursos'!N:N)</f>
        <v>6810</v>
      </c>
      <c r="D14" s="65">
        <f>SUMIF('Controle adm. dos cursos'!H:H,"2025",'Resumo dos cursos'!O:O)</f>
        <v>6810</v>
      </c>
      <c r="E14" s="65">
        <f>SUMIF('Controle adm. dos cursos'!H:H,"2025",'Resumo dos cursos'!P:P)</f>
        <v>5353</v>
      </c>
      <c r="F14" s="101">
        <f t="shared" si="0"/>
        <v>78.604992657856087</v>
      </c>
      <c r="G14" s="65">
        <f>SUMIF('Controle adm. dos cursos'!H:H,"2025",'Resumo dos cursos'!R:R)</f>
        <v>153</v>
      </c>
      <c r="H14" s="65">
        <f>SUMIF('Controle adm. dos cursos'!H:H,"2025",'Resumo dos cursos'!S:S)</f>
        <v>251</v>
      </c>
      <c r="I14" s="65">
        <f>SUMIF('Controle adm. dos cursos'!H:H,"2025",'Resumo dos cursos'!T:T)</f>
        <v>832</v>
      </c>
      <c r="J14" s="67">
        <f>SUMIF('Controle adm. dos cursos'!H:H,"2025",'Resumo dos cursos'!U:U)</f>
        <v>0</v>
      </c>
    </row>
    <row r="15" spans="1:10" ht="15" thickBot="1" x14ac:dyDescent="0.3"/>
    <row r="16" spans="1:10" ht="16.5" customHeight="1" x14ac:dyDescent="0.25">
      <c r="A16" s="153" t="s">
        <v>261</v>
      </c>
      <c r="B16" s="153"/>
      <c r="C16" s="153"/>
      <c r="D16" s="153"/>
      <c r="E16" s="153"/>
      <c r="F16" s="74"/>
      <c r="G16" s="74"/>
    </row>
    <row r="17" spans="1:5" ht="15" customHeight="1" x14ac:dyDescent="0.25">
      <c r="A17" s="156" t="s">
        <v>247</v>
      </c>
      <c r="B17" s="156"/>
      <c r="C17" s="156"/>
      <c r="D17" s="156"/>
      <c r="E17" s="75">
        <f>SUM(E19:E36)</f>
        <v>114</v>
      </c>
    </row>
    <row r="18" spans="1:5" ht="15.75" customHeight="1" x14ac:dyDescent="0.25">
      <c r="A18" s="157" t="s">
        <v>262</v>
      </c>
      <c r="B18" s="157"/>
      <c r="C18" s="157"/>
      <c r="D18" s="157"/>
      <c r="E18" s="76">
        <f>COUNT(E19:E36)</f>
        <v>18</v>
      </c>
    </row>
    <row r="19" spans="1:5" ht="14.25" customHeight="1" x14ac:dyDescent="0.25">
      <c r="A19" s="158" t="s">
        <v>18</v>
      </c>
      <c r="B19" s="158"/>
      <c r="C19" s="158"/>
      <c r="D19" s="77" t="s">
        <v>17</v>
      </c>
      <c r="E19" s="75">
        <f>COUNTIF(Tabela3[abrev],"Fundamental")</f>
        <v>1</v>
      </c>
    </row>
    <row r="20" spans="1:5" ht="29.25" customHeight="1" x14ac:dyDescent="0.25">
      <c r="A20" s="159" t="s">
        <v>22</v>
      </c>
      <c r="B20" s="159"/>
      <c r="C20" s="159"/>
      <c r="D20" s="78" t="s">
        <v>21</v>
      </c>
      <c r="E20" s="79">
        <f>COUNTIF(Tabela3[abrev],"REER")</f>
        <v>9</v>
      </c>
    </row>
    <row r="21" spans="1:5" ht="14.25" customHeight="1" x14ac:dyDescent="0.25">
      <c r="A21" s="159" t="s">
        <v>30</v>
      </c>
      <c r="B21" s="159"/>
      <c r="C21" s="159"/>
      <c r="D21" s="78" t="s">
        <v>29</v>
      </c>
      <c r="E21" s="80">
        <f>COUNTIF(Tabela3[abrev],"SCI")</f>
        <v>38</v>
      </c>
    </row>
    <row r="22" spans="1:5" ht="14.25" customHeight="1" x14ac:dyDescent="0.25">
      <c r="A22" s="159" t="s">
        <v>43</v>
      </c>
      <c r="B22" s="159"/>
      <c r="C22" s="159"/>
      <c r="D22" s="78" t="s">
        <v>42</v>
      </c>
      <c r="E22" s="80">
        <f>COUNTIF(Tabela3[abrev],"EE")</f>
        <v>8</v>
      </c>
    </row>
    <row r="23" spans="1:5" ht="14.25" customHeight="1" x14ac:dyDescent="0.25">
      <c r="A23" s="159" t="s">
        <v>54</v>
      </c>
      <c r="B23" s="159"/>
      <c r="C23" s="159"/>
      <c r="D23" s="78" t="s">
        <v>53</v>
      </c>
      <c r="E23" s="80">
        <f>COUNTIF(Tabela3[abrev],"PDC")</f>
        <v>1</v>
      </c>
    </row>
    <row r="24" spans="1:5" ht="14.25" customHeight="1" x14ac:dyDescent="0.25">
      <c r="A24" s="159" t="s">
        <v>59</v>
      </c>
      <c r="B24" s="159"/>
      <c r="C24" s="159"/>
      <c r="D24" s="78" t="s">
        <v>58</v>
      </c>
      <c r="E24" s="80">
        <f>COUNTIF(Tabela3[abrev],"RD")</f>
        <v>5</v>
      </c>
    </row>
    <row r="25" spans="1:5" ht="29.25" customHeight="1" x14ac:dyDescent="0.25">
      <c r="A25" s="159" t="s">
        <v>66</v>
      </c>
      <c r="B25" s="159"/>
      <c r="C25" s="159"/>
      <c r="D25" s="78" t="s">
        <v>65</v>
      </c>
      <c r="E25" s="80">
        <f>COUNTIF(Tabela3[abrev],"CFGM")</f>
        <v>8</v>
      </c>
    </row>
    <row r="26" spans="1:5" ht="14.25" customHeight="1" x14ac:dyDescent="0.25">
      <c r="A26" s="159" t="s">
        <v>77</v>
      </c>
      <c r="B26" s="159"/>
      <c r="C26" s="159"/>
      <c r="D26" s="78" t="s">
        <v>76</v>
      </c>
      <c r="E26" s="80">
        <f>COUNTIF(Tabela3[abrev],"PP")</f>
        <v>3</v>
      </c>
    </row>
    <row r="27" spans="1:5" ht="15" customHeight="1" x14ac:dyDescent="0.25">
      <c r="A27" s="159" t="s">
        <v>83</v>
      </c>
      <c r="B27" s="159"/>
      <c r="C27" s="159"/>
      <c r="D27" s="78" t="s">
        <v>82</v>
      </c>
      <c r="E27" s="80">
        <f>COUNTIF(Tabela3[abrev],"CPCIF")</f>
        <v>2</v>
      </c>
    </row>
    <row r="28" spans="1:5" ht="29.25" customHeight="1" x14ac:dyDescent="0.25">
      <c r="A28" s="159" t="s">
        <v>119</v>
      </c>
      <c r="B28" s="159"/>
      <c r="C28" s="159"/>
      <c r="D28" s="78" t="s">
        <v>118</v>
      </c>
      <c r="E28" s="80">
        <f>COUNTIF(Tabela3[abrev],"FBEMS")</f>
        <v>3</v>
      </c>
    </row>
    <row r="29" spans="1:5" ht="15" customHeight="1" x14ac:dyDescent="0.25">
      <c r="A29" s="159" t="s">
        <v>113</v>
      </c>
      <c r="B29" s="159"/>
      <c r="C29" s="159"/>
      <c r="D29" s="78" t="s">
        <v>112</v>
      </c>
      <c r="E29" s="80">
        <f>COUNTIF(Tabela3[abrev],"CPC")</f>
        <v>6</v>
      </c>
    </row>
    <row r="30" spans="1:5" ht="15" customHeight="1" x14ac:dyDescent="0.25">
      <c r="A30" s="159" t="s">
        <v>123</v>
      </c>
      <c r="B30" s="159"/>
      <c r="C30" s="159"/>
      <c r="D30" s="78" t="s">
        <v>122</v>
      </c>
      <c r="E30" s="80">
        <f>COUNTIF(Tabela3[abrev],"CBCV")</f>
        <v>10</v>
      </c>
    </row>
    <row r="31" spans="1:5" ht="15.75" customHeight="1" x14ac:dyDescent="0.25">
      <c r="A31" s="159" t="s">
        <v>130</v>
      </c>
      <c r="B31" s="159"/>
      <c r="C31" s="159"/>
      <c r="D31" s="78" t="s">
        <v>129</v>
      </c>
      <c r="E31" s="80">
        <f>COUNTIF(Tabela3[abrev],"SB")</f>
        <v>1</v>
      </c>
    </row>
    <row r="32" spans="1:5" ht="29.25" customHeight="1" x14ac:dyDescent="0.25">
      <c r="A32" s="159" t="s">
        <v>263</v>
      </c>
      <c r="B32" s="159"/>
      <c r="C32" s="159"/>
      <c r="D32" s="78" t="s">
        <v>158</v>
      </c>
      <c r="E32" s="80">
        <f>COUNTIF(Tabela3[abrev],"CCFADC")</f>
        <v>4</v>
      </c>
    </row>
    <row r="33" spans="1:5" ht="14.25" customHeight="1" x14ac:dyDescent="0.25">
      <c r="A33" s="159" t="s">
        <v>189</v>
      </c>
      <c r="B33" s="159"/>
      <c r="C33" s="159"/>
      <c r="D33" s="78" t="s">
        <v>188</v>
      </c>
      <c r="E33" s="80">
        <f>COUNTIF(Tabela3[abrev],"CIARP")</f>
        <v>5</v>
      </c>
    </row>
    <row r="34" spans="1:5" ht="14.25" customHeight="1" x14ac:dyDescent="0.25">
      <c r="A34" s="159" t="s">
        <v>264</v>
      </c>
      <c r="B34" s="159"/>
      <c r="C34" s="159"/>
      <c r="D34" s="78" t="s">
        <v>179</v>
      </c>
      <c r="E34" s="80">
        <f>COUNTIF(Tabela3[abrev],"CADC")</f>
        <v>7</v>
      </c>
    </row>
    <row r="35" spans="1:5" ht="14.25" customHeight="1" x14ac:dyDescent="0.25">
      <c r="A35" s="159" t="s">
        <v>265</v>
      </c>
      <c r="B35" s="159"/>
      <c r="C35" s="159"/>
      <c r="D35" s="78" t="s">
        <v>193</v>
      </c>
      <c r="E35" s="80">
        <f>COUNTIF(Tabela3[abrev],"CBCM")</f>
        <v>2</v>
      </c>
    </row>
    <row r="36" spans="1:5" ht="14.25" customHeight="1" x14ac:dyDescent="0.25">
      <c r="A36" s="160" t="s">
        <v>217</v>
      </c>
      <c r="B36" s="160"/>
      <c r="C36" s="160"/>
      <c r="D36" s="81" t="s">
        <v>216</v>
      </c>
      <c r="E36" s="82">
        <f>COUNTIF(Tabela3[abrev],"PAI")</f>
        <v>1</v>
      </c>
    </row>
  </sheetData>
  <sheetProtection algorithmName="SHA-512" hashValue="1MpS5yl0oicmNi44ufCbpCSoOkCl2CZ3MZ3SjaDPWDptftfcsCqe5iWkSzet4OkPw6K3v4xNjFa+VgogAvfHMw==" saltValue="/XpcV1ak4t1sWJEkxK7iKw==" spinCount="100000" sheet="1" objects="1" scenarios="1"/>
  <mergeCells count="24">
    <mergeCell ref="A33:C33"/>
    <mergeCell ref="A34:C34"/>
    <mergeCell ref="A35:C35"/>
    <mergeCell ref="A36:C36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D18"/>
    <mergeCell ref="A19:C19"/>
    <mergeCell ref="A20:C20"/>
    <mergeCell ref="A21:C21"/>
    <mergeCell ref="A22:C22"/>
    <mergeCell ref="A1:J1"/>
    <mergeCell ref="B2:B3"/>
    <mergeCell ref="C2:J2"/>
    <mergeCell ref="A16:E16"/>
    <mergeCell ref="A17:D17"/>
  </mergeCells>
  <conditionalFormatting sqref="F5:F14">
    <cfRule type="cellIs" dxfId="31" priority="2" operator="equal">
      <formula>0</formula>
    </cfRule>
    <cfRule type="cellIs" dxfId="30" priority="3" operator="equal">
      <formula>0</formula>
    </cfRule>
  </conditionalFormatting>
  <pageMargins left="0.51180555555555596" right="0.51180555555555596" top="0.78749999999999998" bottom="0.78749999999999998" header="0.511811023622047" footer="0.31527777777777799"/>
  <pageSetup paperSize="9" orientation="landscape" horizontalDpi="300" verticalDpi="300" r:id="rId1"/>
  <headerFooter>
    <oddFooter>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D10" sqref="D10"/>
    </sheetView>
  </sheetViews>
  <sheetFormatPr defaultColWidth="9.140625" defaultRowHeight="14.25" x14ac:dyDescent="0.25"/>
  <cols>
    <col min="1" max="1" width="35.42578125" style="44" customWidth="1"/>
    <col min="2" max="2" width="11.5703125" style="15" customWidth="1"/>
    <col min="3" max="3" width="8.42578125" style="15" customWidth="1"/>
    <col min="4" max="4" width="12.5703125" style="15" customWidth="1"/>
    <col min="5" max="5" width="9.710937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266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" customHeight="1" x14ac:dyDescent="0.25">
      <c r="A2" s="45"/>
      <c r="B2" s="162" t="s">
        <v>247</v>
      </c>
      <c r="C2" s="163" t="s">
        <v>248</v>
      </c>
      <c r="D2" s="163"/>
      <c r="E2" s="163"/>
      <c r="F2" s="163"/>
      <c r="G2" s="163"/>
      <c r="H2" s="163"/>
      <c r="I2" s="163"/>
      <c r="J2" s="163"/>
    </row>
    <row r="3" spans="1:10" ht="36" x14ac:dyDescent="0.25">
      <c r="A3" s="46"/>
      <c r="B3" s="162"/>
      <c r="C3" s="83" t="s">
        <v>229</v>
      </c>
      <c r="D3" s="83" t="s">
        <v>230</v>
      </c>
      <c r="E3" s="83" t="s">
        <v>231</v>
      </c>
      <c r="F3" s="84" t="s">
        <v>249</v>
      </c>
      <c r="G3" s="83" t="s">
        <v>233</v>
      </c>
      <c r="H3" s="83" t="s">
        <v>234</v>
      </c>
      <c r="I3" s="83" t="s">
        <v>235</v>
      </c>
      <c r="J3" s="85" t="s">
        <v>236</v>
      </c>
    </row>
    <row r="4" spans="1:10" ht="15.75" x14ac:dyDescent="0.25">
      <c r="A4" s="86" t="s">
        <v>250</v>
      </c>
      <c r="B4" s="50">
        <f>COUNTIF(Tabela3[Ano],"2019")</f>
        <v>7</v>
      </c>
      <c r="C4" s="50">
        <f>SUM(C5:C7)</f>
        <v>700</v>
      </c>
      <c r="D4" s="50">
        <f>SUM(D5:D7)</f>
        <v>675</v>
      </c>
      <c r="E4" s="50">
        <f>SUM(E5:E7)</f>
        <v>468</v>
      </c>
      <c r="F4" s="52">
        <f t="shared" ref="F4:F14" si="0">IFERROR(((E4*100)/D4),0)</f>
        <v>69.333333333333329</v>
      </c>
      <c r="G4" s="50">
        <f>SUM(G5:G7)</f>
        <v>29</v>
      </c>
      <c r="H4" s="50">
        <f>SUM(H5:H7)</f>
        <v>22</v>
      </c>
      <c r="I4" s="50">
        <f>SUM(I5:I7)</f>
        <v>33</v>
      </c>
      <c r="J4" s="87">
        <f>SUM(J5:J7)</f>
        <v>123</v>
      </c>
    </row>
    <row r="5" spans="1:10" x14ac:dyDescent="0.25">
      <c r="A5" s="88" t="s">
        <v>251</v>
      </c>
      <c r="B5" s="55">
        <f>COUNTIFS(Tabela3[Ano],"2019",Tabela3[Modalidade de Ensino],"Presencial")</f>
        <v>0</v>
      </c>
      <c r="C5" s="55">
        <f>SUMIFS(Tabela3[Inscritos],Tabela3[Ano],"2019",Tabela3[Modalidade de Ensino],"Presencial")</f>
        <v>0</v>
      </c>
      <c r="D5" s="55">
        <f>SUMIFS(Tabela3[Matriculados],Tabela3[Ano],"2019",Tabela3[Modalidade de Ensino],"Presencial")</f>
        <v>0</v>
      </c>
      <c r="E5" s="55">
        <f>SUMIFS(Tabela3[Aprovados],Tabela3[Ano],"2019",Tabela3[Modalidade de Ensino],"Presencial")</f>
        <v>0</v>
      </c>
      <c r="F5" s="57">
        <f t="shared" si="0"/>
        <v>0</v>
      </c>
      <c r="G5" s="55">
        <f>SUMIFS(Tabela3[Reprovados],Tabela3[Ano],"2019",Tabela3[Modalidade de Ensino],"Presencial")</f>
        <v>0</v>
      </c>
      <c r="H5" s="55">
        <f>SUMIFS(Tabela3[Desistentes],Tabela3[Ano],"2019",Tabela3[Modalidade de Ensino],"Presencial")</f>
        <v>0</v>
      </c>
      <c r="I5" s="55">
        <f>SUMIFS(Tabela3[Não responderam o 1º questionário],Tabela3[Ano],"2019",Tabela3[Modalidade de Ensino],"Presencial")</f>
        <v>0</v>
      </c>
      <c r="J5" s="89">
        <f>SUMIFS(Tabela3[Nunca acessaram o curso],Tabela3[Ano],"2019",Tabela3[Modalidade de Ensino],"Presencial")</f>
        <v>0</v>
      </c>
    </row>
    <row r="6" spans="1:10" x14ac:dyDescent="0.25">
      <c r="A6" s="90" t="s">
        <v>252</v>
      </c>
      <c r="B6" s="60">
        <f>COUNTIFS(Tabela3[Ano],"2019",Tabela3[Modalidade de Ensino],"A Distância (EaD)")</f>
        <v>5</v>
      </c>
      <c r="C6" s="60">
        <f>SUMIFS(Tabela3[Inscritos],Tabela3[Ano],"2019",Tabela3[Modalidade de Ensino],"A Distância (EaD)")</f>
        <v>326</v>
      </c>
      <c r="D6" s="60">
        <f>SUMIFS(Tabela3[Matriculados],Tabela3[Ano],"2019",Tabela3[Modalidade de Ensino],"A Distância (EaD)")</f>
        <v>301</v>
      </c>
      <c r="E6" s="60">
        <f>SUMIFS(Tabela3[Aprovados],Tabela3[Ano],"2019",Tabela3[Modalidade de Ensino],"A Distância (EaD)")</f>
        <v>206</v>
      </c>
      <c r="F6" s="57">
        <f t="shared" si="0"/>
        <v>68.438538205980066</v>
      </c>
      <c r="G6" s="60">
        <f>SUMIFS(Tabela3[Reprovados],Tabela3[Ano],"2019",Tabela3[Modalidade de Ensino],"A Distância (EaD)")</f>
        <v>14</v>
      </c>
      <c r="H6" s="60">
        <f>SUMIFS(Tabela3[Desistentes],Tabela3[Ano],"2019",Tabela3[Modalidade de Ensino],"A Distância (EaD)")</f>
        <v>12</v>
      </c>
      <c r="I6" s="60">
        <f>SUMIFS(Tabela3[Não responderam o 1º questionário],Tabela3[Ano],"2019",Tabela3[Modalidade de Ensino],"A Distância (EaD)")</f>
        <v>18</v>
      </c>
      <c r="J6" s="91">
        <f>SUMIFS(Tabela3[Nunca acessaram o curso],Tabela3[Ano],"2019",Tabela3[Modalidade de Ensino],"A Distância (EaD)")</f>
        <v>51</v>
      </c>
    </row>
    <row r="7" spans="1:10" x14ac:dyDescent="0.25">
      <c r="A7" s="92" t="s">
        <v>253</v>
      </c>
      <c r="B7" s="64">
        <f>COUNTIFS(Tabela3[Ano],"2019",Tabela3[Modalidade de Ensino],"Semipresencial")</f>
        <v>2</v>
      </c>
      <c r="C7" s="64">
        <f>SUMIFS(Tabela3[Inscritos],Tabela3[Ano],"2019",Tabela3[Modalidade de Ensino],"Semipresencial")</f>
        <v>374</v>
      </c>
      <c r="D7" s="64">
        <f>SUMIFS(Tabela3[Matriculados],Tabela3[Ano],"2019",Tabela3[Modalidade de Ensino],"Semipresencial")</f>
        <v>374</v>
      </c>
      <c r="E7" s="64">
        <f>SUMIFS(Tabela3[Aprovados],Tabela3[Ano],"2019",Tabela3[Modalidade de Ensino],"Semipresencial")</f>
        <v>262</v>
      </c>
      <c r="F7" s="71">
        <f t="shared" si="0"/>
        <v>70.053475935828871</v>
      </c>
      <c r="G7" s="64">
        <f>SUMIFS(Tabela3[Reprovados],Tabela3[Ano],"2019",Tabela3[Modalidade de Ensino],"Semipresencial")</f>
        <v>15</v>
      </c>
      <c r="H7" s="64">
        <f>SUMIFS(Tabela3[Desistentes],Tabela3[Ano],"2019",Tabela3[Modalidade de Ensino],"Semipresencial")</f>
        <v>10</v>
      </c>
      <c r="I7" s="64">
        <f>SUMIFS(Tabela3[Não responderam o 1º questionário],Tabela3[Ano],"2019",Tabela3[Modalidade de Ensino],"Semipresencial")</f>
        <v>15</v>
      </c>
      <c r="J7" s="93">
        <f>SUMIFS(Tabela3[Nunca acessaram o curso],Tabela3[Ano],"2019",Tabela3[Modalidade de Ensino],"Semipresencial")</f>
        <v>72</v>
      </c>
    </row>
    <row r="8" spans="1:10" ht="25.5" x14ac:dyDescent="0.25">
      <c r="A8" s="88" t="str">
        <f>IF('Controle adm. dos cursos'!H3=2019,'Controle adm. dos cursos'!D3," ")</f>
        <v>Conhecimentos Fundamentais em Proteção e Defesa Civil</v>
      </c>
      <c r="B8" s="94" t="str">
        <f>'Controle adm. dos cursos'!G3</f>
        <v>Turma DPDC</v>
      </c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47.25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98" t="str">
        <f>'Controle adm. dos cursos'!G4</f>
        <v>Turma 2019</v>
      </c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24" customHeight="1" x14ac:dyDescent="0.25">
      <c r="A10" s="99" t="str">
        <f>IF('Controle adm. dos cursos'!H5=2019,'Controle adm. dos cursos'!D5," ")</f>
        <v>Sistema de Comando de Incidentes</v>
      </c>
      <c r="B10" s="98" t="str">
        <f>'Controle adm. dos cursos'!G5</f>
        <v>Turma I</v>
      </c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x14ac:dyDescent="0.25">
      <c r="A11" s="99" t="str">
        <f>IF('Controle adm. dos cursos'!H6=2019,'Controle adm. dos cursos'!D6," ")</f>
        <v>Sistema de Comando de Incidentes</v>
      </c>
      <c r="B11" s="98" t="str">
        <f>'Controle adm. dos cursos'!G6</f>
        <v>Turma ADAPAR</v>
      </c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24" customHeight="1" x14ac:dyDescent="0.25">
      <c r="A12" s="99" t="str">
        <f>IF('Controle adm. dos cursos'!H7=2019,'Controle adm. dos cursos'!D7," ")</f>
        <v>Sistema de Comando de Incidentes</v>
      </c>
      <c r="B12" s="98" t="str">
        <f>'Controle adm. dos cursos'!G7</f>
        <v>Turma II ADAPAR</v>
      </c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4" customHeight="1" x14ac:dyDescent="0.25">
      <c r="A13" s="99" t="str">
        <f>IF('Controle adm. dos cursos'!H8=2019,'Controle adm. dos cursos'!D8," ")</f>
        <v>Atendimento de Emergências em Edificações</v>
      </c>
      <c r="B13" s="98" t="str">
        <f>'Controle adm. dos cursos'!G8</f>
        <v>Turma CELEPAR</v>
      </c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x14ac:dyDescent="0.25">
      <c r="A14" s="92" t="str">
        <f>IF('Controle adm. dos cursos'!H9=2019,'Controle adm. dos cursos'!D9," ")</f>
        <v>Atendimento de Emergências em Edificações</v>
      </c>
      <c r="B14" s="100" t="str">
        <f>'Controle adm. dos cursos'!G9</f>
        <v>Turma UEM</v>
      </c>
      <c r="C14" s="64">
        <f>'Resumo dos cursos'!N9</f>
        <v>277</v>
      </c>
      <c r="D14" s="64">
        <f>'Resumo dos cursos'!O9</f>
        <v>277</v>
      </c>
      <c r="E14" s="64">
        <f>'Resumo dos cursos'!P9</f>
        <v>190</v>
      </c>
      <c r="F14" s="101">
        <f t="shared" si="0"/>
        <v>68.592057761732846</v>
      </c>
      <c r="G14" s="64">
        <f>'Resumo dos cursos'!R9</f>
        <v>7</v>
      </c>
      <c r="H14" s="64">
        <f>'Resumo dos cursos'!S9</f>
        <v>8</v>
      </c>
      <c r="I14" s="64">
        <f>'Resumo dos cursos'!T9</f>
        <v>11</v>
      </c>
      <c r="J14" s="93">
        <f>'Resumo dos cursos'!U9</f>
        <v>61</v>
      </c>
    </row>
    <row r="15" spans="1:10" x14ac:dyDescent="0.25">
      <c r="A15" s="15"/>
    </row>
    <row r="16" spans="1:10" x14ac:dyDescent="0.25">
      <c r="A16" s="15"/>
    </row>
    <row r="17" spans="1:1" x14ac:dyDescent="0.25">
      <c r="A17" s="15"/>
    </row>
    <row r="18" spans="1:1" x14ac:dyDescent="0.25">
      <c r="A18" s="15"/>
    </row>
    <row r="19" spans="1:1" x14ac:dyDescent="0.25">
      <c r="A19" s="15"/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</sheetData>
  <sheetProtection algorithmName="SHA-512" hashValue="1T7cOxc5gzmQmNyqh1CvpGx1aC6Qti4a0tXQPWFuxmjJL0IV+VWVeaEfz5KPSOxBWYWPjas4APb0Y+1gdOHLVg==" saltValue="z9uL63RrrDhgnJrj9i523Q==" spinCount="100000" sheet="1" objects="1" scenarios="1"/>
  <mergeCells count="3">
    <mergeCell ref="A1:J1"/>
    <mergeCell ref="B2:B3"/>
    <mergeCell ref="C2:J2"/>
  </mergeCells>
  <conditionalFormatting sqref="F5:F14">
    <cfRule type="cellIs" dxfId="29" priority="2" operator="equal">
      <formula>0</formula>
    </cfRule>
    <cfRule type="cellIs" dxfId="28" priority="3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60" zoomScaleNormal="160" workbookViewId="0">
      <selection activeCell="C7" sqref="C7"/>
    </sheetView>
  </sheetViews>
  <sheetFormatPr defaultColWidth="9.140625" defaultRowHeight="14.25" x14ac:dyDescent="0.25"/>
  <cols>
    <col min="1" max="1" width="35.42578125" style="44" customWidth="1"/>
    <col min="2" max="2" width="11.5703125" style="15" customWidth="1"/>
    <col min="3" max="3" width="8.42578125" style="15" customWidth="1"/>
    <col min="4" max="4" width="12.5703125" style="15" customWidth="1"/>
    <col min="5" max="5" width="9.710937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267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" customHeight="1" x14ac:dyDescent="0.25">
      <c r="A2" s="45"/>
      <c r="B2" s="162" t="s">
        <v>247</v>
      </c>
      <c r="C2" s="163" t="s">
        <v>248</v>
      </c>
      <c r="D2" s="163"/>
      <c r="E2" s="163"/>
      <c r="F2" s="163"/>
      <c r="G2" s="163"/>
      <c r="H2" s="163"/>
      <c r="I2" s="163"/>
      <c r="J2" s="163"/>
    </row>
    <row r="3" spans="1:10" ht="36" x14ac:dyDescent="0.25">
      <c r="A3" s="46"/>
      <c r="B3" s="162"/>
      <c r="C3" s="83" t="s">
        <v>229</v>
      </c>
      <c r="D3" s="83" t="s">
        <v>230</v>
      </c>
      <c r="E3" s="83" t="s">
        <v>231</v>
      </c>
      <c r="F3" s="84" t="s">
        <v>249</v>
      </c>
      <c r="G3" s="83" t="s">
        <v>233</v>
      </c>
      <c r="H3" s="83" t="s">
        <v>234</v>
      </c>
      <c r="I3" s="83" t="s">
        <v>235</v>
      </c>
      <c r="J3" s="85" t="s">
        <v>236</v>
      </c>
    </row>
    <row r="4" spans="1:10" ht="15.75" x14ac:dyDescent="0.25">
      <c r="A4" s="86" t="s">
        <v>250</v>
      </c>
      <c r="B4" s="50">
        <f>COUNTIF(Tabela3[Ano],"2020")</f>
        <v>4</v>
      </c>
      <c r="C4" s="50">
        <f>SUM(C5:C7)</f>
        <v>332</v>
      </c>
      <c r="D4" s="50">
        <f>SUM(D5:D7)</f>
        <v>332</v>
      </c>
      <c r="E4" s="50">
        <f>SUM(E5:E7)</f>
        <v>239</v>
      </c>
      <c r="F4" s="52">
        <f t="shared" ref="F4:F18" si="0">IFERROR(((E4*100)/D4),0)</f>
        <v>71.98795180722891</v>
      </c>
      <c r="G4" s="50">
        <f>SUM(G5:G7)</f>
        <v>7</v>
      </c>
      <c r="H4" s="50">
        <f>SUM(H5:H7)</f>
        <v>9</v>
      </c>
      <c r="I4" s="50">
        <f>SUM(I5:I7)</f>
        <v>15</v>
      </c>
      <c r="J4" s="87">
        <f>SUM(J5:J7)</f>
        <v>62</v>
      </c>
    </row>
    <row r="5" spans="1:10" x14ac:dyDescent="0.25">
      <c r="A5" s="88" t="s">
        <v>251</v>
      </c>
      <c r="B5" s="55">
        <f>COUNTIFS(Tabela3[Ano],"2020",Tabela3[Modalidade de Ensino],"Presencial")</f>
        <v>0</v>
      </c>
      <c r="C5" s="55">
        <f>SUMIFS(Tabela3[Inscritos],Tabela3[Ano],"2020",Tabela3[Modalidade de Ensino],"Presencial")</f>
        <v>0</v>
      </c>
      <c r="D5" s="55">
        <f>SUMIFS(Tabela3[Matriculados],Tabela3[Ano],"2020",Tabela3[Modalidade de Ensino],"Presencial")</f>
        <v>0</v>
      </c>
      <c r="E5" s="55">
        <f>SUMIFS(Tabela3[Aprovados],Tabela3[Ano],"2020",Tabela3[Modalidade de Ensino],"Presencial")</f>
        <v>0</v>
      </c>
      <c r="F5" s="57">
        <f t="shared" si="0"/>
        <v>0</v>
      </c>
      <c r="G5" s="55">
        <f>SUMIFS(Tabela3[Reprovados],Tabela3[Ano],"2020",Tabela3[Modalidade de Ensino],"Presencial")</f>
        <v>0</v>
      </c>
      <c r="H5" s="55">
        <f>SUMIFS(Tabela3[Desistentes],Tabela3[Ano],"2020",Tabela3[Modalidade de Ensino],"Presencial")</f>
        <v>0</v>
      </c>
      <c r="I5" s="55">
        <f>SUMIFS(Tabela3[Não responderam o 1º questionário],Tabela3[Ano],"2020",Tabela3[Modalidade de Ensino],"Presencial")</f>
        <v>0</v>
      </c>
      <c r="J5" s="89">
        <f>SUMIFS(Tabela3[Nunca acessaram o curso],Tabela3[Ano],"2020",Tabela3[Modalidade de Ensino],"Presencial")</f>
        <v>0</v>
      </c>
    </row>
    <row r="6" spans="1:10" x14ac:dyDescent="0.25">
      <c r="A6" s="90" t="s">
        <v>252</v>
      </c>
      <c r="B6" s="60">
        <f>COUNTIFS(Tabela3[Ano],"2020",Tabela3[Modalidade de Ensino],"A Distância (EaD)")</f>
        <v>4</v>
      </c>
      <c r="C6" s="60">
        <f>SUMIFS(Tabela3[Inscritos],Tabela3[Ano],"2020",Tabela3[Modalidade de Ensino],"A Distância (EaD)")</f>
        <v>332</v>
      </c>
      <c r="D6" s="60">
        <f>SUMIFS(Tabela3[Matriculados],Tabela3[Ano],"2020",Tabela3[Modalidade de Ensino],"A Distância (EaD)")</f>
        <v>332</v>
      </c>
      <c r="E6" s="60">
        <f>SUMIFS(Tabela3[Aprovados],Tabela3[Ano],"2020",Tabela3[Modalidade de Ensino],"A Distância (EaD)")</f>
        <v>239</v>
      </c>
      <c r="F6" s="57">
        <f t="shared" si="0"/>
        <v>71.98795180722891</v>
      </c>
      <c r="G6" s="60">
        <f>SUMIFS(Tabela3[Reprovados],Tabela3[Ano],"2020",Tabela3[Modalidade de Ensino],"A Distância (EaD)")</f>
        <v>7</v>
      </c>
      <c r="H6" s="60">
        <f>SUMIFS(Tabela3[Desistentes],Tabela3[Ano],"2020",Tabela3[Modalidade de Ensino],"A Distância (EaD)")</f>
        <v>9</v>
      </c>
      <c r="I6" s="60">
        <f>SUMIFS(Tabela3[Não responderam o 1º questionário],Tabela3[Ano],"2020",Tabela3[Modalidade de Ensino],"A Distância (EaD)")</f>
        <v>15</v>
      </c>
      <c r="J6" s="91">
        <f>SUMIFS(Tabela3[Nunca acessaram o curso],Tabela3[Ano],"2020",Tabela3[Modalidade de Ensino],"A Distância (EaD)")</f>
        <v>62</v>
      </c>
    </row>
    <row r="7" spans="1:10" x14ac:dyDescent="0.25">
      <c r="A7" s="92" t="s">
        <v>253</v>
      </c>
      <c r="B7" s="64">
        <f>COUNTIFS(Tabela3[Ano],"2020",Tabela3[Modalidade de Ensino],"Semipresencial")</f>
        <v>0</v>
      </c>
      <c r="C7" s="64">
        <f>SUMIFS(Tabela3[Inscritos],Tabela3[Ano],"2020",Tabela3[Modalidade de Ensino],"Semipresencial")</f>
        <v>0</v>
      </c>
      <c r="D7" s="64">
        <f>SUMIFS(Tabela3[Matriculados],Tabela3[Ano],"2020",Tabela3[Modalidade de Ensino],"Semipresencial")</f>
        <v>0</v>
      </c>
      <c r="E7" s="64">
        <f>SUMIFS(Tabela3[Aprovados],Tabela3[Ano],"2020",Tabela3[Modalidade de Ensino],"Semipresencial")</f>
        <v>0</v>
      </c>
      <c r="F7" s="57">
        <f t="shared" si="0"/>
        <v>0</v>
      </c>
      <c r="G7" s="64">
        <f>SUMIFS(Tabela3[Reprovados],Tabela3[Ano],"2020",Tabela3[Modalidade de Ensino],"Semipresencial")</f>
        <v>0</v>
      </c>
      <c r="H7" s="64">
        <f>SUMIFS(Tabela3[Desistentes],Tabela3[Ano],"2020",Tabela3[Modalidade de Ensino],"Semipresencial")</f>
        <v>0</v>
      </c>
      <c r="I7" s="64">
        <f>SUMIFS(Tabela3[Não responderam o 1º questionário],Tabela3[Ano],"2020",Tabela3[Modalidade de Ensino],"Semipresencial")</f>
        <v>0</v>
      </c>
      <c r="J7" s="93">
        <f>SUMIFS(Tabela3[Nunca acessaram o curso],Tabela3[Ano],"2020",Tabela3[Modalidade de Ensino],"Semipresencial")</f>
        <v>0</v>
      </c>
    </row>
    <row r="8" spans="1:10" ht="25.5" hidden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47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24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idden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24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4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idden="1" x14ac:dyDescent="0.25">
      <c r="A14" s="99" t="str">
        <f>IF('Controle adm. dos cursos'!H9=2019,'Controle adm. dos cursos'!D9," ")</f>
        <v>Atendimento de Emergências em Edificações</v>
      </c>
      <c r="B14" s="103"/>
      <c r="C14" s="103">
        <f>'Resumo dos cursos'!N9</f>
        <v>277</v>
      </c>
      <c r="D14" s="103">
        <f>'Resumo dos cursos'!O9</f>
        <v>277</v>
      </c>
      <c r="E14" s="103">
        <f>'Resumo dos cursos'!P9</f>
        <v>190</v>
      </c>
      <c r="F14" s="104">
        <f t="shared" si="0"/>
        <v>68.592057761732846</v>
      </c>
      <c r="G14" s="103">
        <f>'Resumo dos cursos'!R9</f>
        <v>7</v>
      </c>
      <c r="H14" s="103">
        <f>'Resumo dos cursos'!S9</f>
        <v>8</v>
      </c>
      <c r="I14" s="103">
        <f>'Resumo dos cursos'!T9</f>
        <v>11</v>
      </c>
      <c r="J14" s="105">
        <f>'Resumo dos cursos'!U9</f>
        <v>61</v>
      </c>
    </row>
    <row r="15" spans="1:10" x14ac:dyDescent="0.25">
      <c r="A15" s="88" t="str">
        <f>IF('Controle adm. dos cursos'!H10=2020,'Controle adm. dos cursos'!D10," ")</f>
        <v>Sistema de Comando de Incidentes</v>
      </c>
      <c r="B15" s="94" t="str">
        <f>'Controle adm. dos cursos'!G10</f>
        <v>Turma APA 2020</v>
      </c>
      <c r="C15" s="55">
        <f>'Resumo dos cursos'!N10</f>
        <v>60</v>
      </c>
      <c r="D15" s="55">
        <f>'Resumo dos cursos'!O10</f>
        <v>60</v>
      </c>
      <c r="E15" s="55">
        <f>'Resumo dos cursos'!P10</f>
        <v>29</v>
      </c>
      <c r="F15" s="106">
        <f t="shared" si="0"/>
        <v>48.333333333333336</v>
      </c>
      <c r="G15" s="55">
        <f>'Resumo dos cursos'!R10</f>
        <v>1</v>
      </c>
      <c r="H15" s="55">
        <f>'Resumo dos cursos'!S10</f>
        <v>0</v>
      </c>
      <c r="I15" s="55">
        <f>'Resumo dos cursos'!T10</f>
        <v>2</v>
      </c>
      <c r="J15" s="89">
        <f>'Resumo dos cursos'!U10</f>
        <v>28</v>
      </c>
    </row>
    <row r="16" spans="1:10" ht="25.5" x14ac:dyDescent="0.25">
      <c r="A16" s="90" t="str">
        <f>IF('Controle adm. dos cursos'!H11=2020,'Controle adm. dos cursos'!D11," ")</f>
        <v>Conhecimentos em Proteção e Defesa Civil</v>
      </c>
      <c r="B16" s="98" t="str">
        <f>'Controle adm. dos cursos'!G11</f>
        <v>Turma 6ª CORPDEC</v>
      </c>
      <c r="C16" s="60">
        <f>'Resumo dos cursos'!N11</f>
        <v>74</v>
      </c>
      <c r="D16" s="60">
        <f>'Resumo dos cursos'!O11</f>
        <v>74</v>
      </c>
      <c r="E16" s="60">
        <f>'Resumo dos cursos'!P11</f>
        <v>61</v>
      </c>
      <c r="F16" s="57">
        <f t="shared" si="0"/>
        <v>82.432432432432435</v>
      </c>
      <c r="G16" s="60">
        <f>'Resumo dos cursos'!R11</f>
        <v>2</v>
      </c>
      <c r="H16" s="60">
        <f>'Resumo dos cursos'!S11</f>
        <v>0</v>
      </c>
      <c r="I16" s="60">
        <f>'Resumo dos cursos'!T11</f>
        <v>5</v>
      </c>
      <c r="J16" s="91">
        <f>'Resumo dos cursos'!U11</f>
        <v>6</v>
      </c>
    </row>
    <row r="17" spans="1:10" ht="25.5" x14ac:dyDescent="0.25">
      <c r="A17" s="90" t="str">
        <f>IF('Controle adm. dos cursos'!H12=2020,'Controle adm. dos cursos'!D12," ")</f>
        <v>RISCOS E DESASTRES: conhecimentos fundamentais</v>
      </c>
      <c r="B17" s="107" t="str">
        <f>'Controle adm. dos cursos'!G12</f>
        <v>Turma I</v>
      </c>
      <c r="C17" s="60">
        <f>'Resumo dos cursos'!N12</f>
        <v>71</v>
      </c>
      <c r="D17" s="60">
        <f>'Resumo dos cursos'!O12</f>
        <v>71</v>
      </c>
      <c r="E17" s="60">
        <f>'Resumo dos cursos'!P12</f>
        <v>53</v>
      </c>
      <c r="F17" s="57">
        <f t="shared" si="0"/>
        <v>74.647887323943664</v>
      </c>
      <c r="G17" s="60">
        <f>'Resumo dos cursos'!R12</f>
        <v>3</v>
      </c>
      <c r="H17" s="60">
        <f>'Resumo dos cursos'!S12</f>
        <v>2</v>
      </c>
      <c r="I17" s="60">
        <f>'Resumo dos cursos'!T12</f>
        <v>5</v>
      </c>
      <c r="J17" s="91">
        <f>'Resumo dos cursos'!U12</f>
        <v>8</v>
      </c>
    </row>
    <row r="18" spans="1:10" x14ac:dyDescent="0.25">
      <c r="A18" s="92" t="str">
        <f>IF('Controle adm. dos cursos'!H13=2020,'Controle adm. dos cursos'!D13," ")</f>
        <v>Sistema de Comando de Incidentes</v>
      </c>
      <c r="B18" s="100" t="str">
        <f>'Controle adm. dos cursos'!G13</f>
        <v>Turma RS 2020</v>
      </c>
      <c r="C18" s="64">
        <f>'Resumo dos cursos'!N13</f>
        <v>127</v>
      </c>
      <c r="D18" s="64">
        <f>'Resumo dos cursos'!O13</f>
        <v>127</v>
      </c>
      <c r="E18" s="64">
        <f>'Resumo dos cursos'!P13</f>
        <v>96</v>
      </c>
      <c r="F18" s="101">
        <f t="shared" si="0"/>
        <v>75.590551181102356</v>
      </c>
      <c r="G18" s="64">
        <f>'Resumo dos cursos'!R13</f>
        <v>1</v>
      </c>
      <c r="H18" s="64">
        <f>'Resumo dos cursos'!S13</f>
        <v>7</v>
      </c>
      <c r="I18" s="64">
        <f>'Resumo dos cursos'!T13</f>
        <v>3</v>
      </c>
      <c r="J18" s="93">
        <f>'Resumo dos cursos'!U13</f>
        <v>20</v>
      </c>
    </row>
  </sheetData>
  <sheetProtection algorithmName="SHA-512" hashValue="4MS3Iwwom3LKFiTqYsZGKNJJnr8qvMlnRDzu5eCXt7B2JTzg2vB6KIIj3MqnHyaVaVOUMl40KuL5b8thA44h5w==" saltValue="+r/ib1hX4AyoYROHDVBtjA==" spinCount="100000" sheet="1" objects="1" scenarios="1"/>
  <mergeCells count="3">
    <mergeCell ref="A1:J1"/>
    <mergeCell ref="B2:B3"/>
    <mergeCell ref="C2:J2"/>
  </mergeCells>
  <conditionalFormatting sqref="F5:F18">
    <cfRule type="cellIs" dxfId="27" priority="2" operator="equal">
      <formula>0</formula>
    </cfRule>
    <cfRule type="cellIs" dxfId="26" priority="3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175" zoomScaleNormal="175" workbookViewId="0">
      <selection activeCell="D19" sqref="D19"/>
    </sheetView>
  </sheetViews>
  <sheetFormatPr defaultColWidth="9.140625" defaultRowHeight="14.25" x14ac:dyDescent="0.25"/>
  <cols>
    <col min="1" max="1" width="35.42578125" style="44" customWidth="1"/>
    <col min="2" max="2" width="11.5703125" style="15" customWidth="1"/>
    <col min="3" max="3" width="8.42578125" style="15" customWidth="1"/>
    <col min="4" max="4" width="12.5703125" style="15" customWidth="1"/>
    <col min="5" max="5" width="9.710937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268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customHeight="1" x14ac:dyDescent="0.25">
      <c r="A2" s="45"/>
      <c r="B2" s="164" t="s">
        <v>247</v>
      </c>
      <c r="C2" s="165" t="s">
        <v>248</v>
      </c>
      <c r="D2" s="165"/>
      <c r="E2" s="165"/>
      <c r="F2" s="165"/>
      <c r="G2" s="165"/>
      <c r="H2" s="165"/>
      <c r="I2" s="165"/>
      <c r="J2" s="165"/>
    </row>
    <row r="3" spans="1:10" ht="36" x14ac:dyDescent="0.25">
      <c r="A3" s="46"/>
      <c r="B3" s="164"/>
      <c r="C3" s="83" t="s">
        <v>229</v>
      </c>
      <c r="D3" s="83" t="s">
        <v>230</v>
      </c>
      <c r="E3" s="83" t="s">
        <v>231</v>
      </c>
      <c r="F3" s="84" t="s">
        <v>249</v>
      </c>
      <c r="G3" s="83" t="s">
        <v>233</v>
      </c>
      <c r="H3" s="83" t="s">
        <v>234</v>
      </c>
      <c r="I3" s="83" t="s">
        <v>235</v>
      </c>
      <c r="J3" s="85" t="s">
        <v>236</v>
      </c>
    </row>
    <row r="4" spans="1:10" ht="15.75" x14ac:dyDescent="0.25">
      <c r="A4" s="86" t="s">
        <v>250</v>
      </c>
      <c r="B4" s="50">
        <f>COUNTIF(Tabela3[Ano],"2021")</f>
        <v>6</v>
      </c>
      <c r="C4" s="50">
        <f>SUM(C5:C7)</f>
        <v>452</v>
      </c>
      <c r="D4" s="50">
        <f>SUM(D5:D7)</f>
        <v>452</v>
      </c>
      <c r="E4" s="50">
        <f>SUM(E5:E7)</f>
        <v>280</v>
      </c>
      <c r="F4" s="52">
        <f t="shared" ref="F4:F20" si="0">IFERROR(((E4*100)/D4),0)</f>
        <v>61.946902654867259</v>
      </c>
      <c r="G4" s="50">
        <f>SUM(G5:G7)</f>
        <v>16</v>
      </c>
      <c r="H4" s="50">
        <f>SUM(H5:H7)</f>
        <v>80</v>
      </c>
      <c r="I4" s="50">
        <f>SUM(I5:I7)</f>
        <v>32</v>
      </c>
      <c r="J4" s="87">
        <f>SUM(J5:J7)</f>
        <v>44</v>
      </c>
    </row>
    <row r="5" spans="1:10" x14ac:dyDescent="0.25">
      <c r="A5" s="88" t="s">
        <v>251</v>
      </c>
      <c r="B5" s="55">
        <f>COUNTIFS(Tabela3[Ano],"2021",Tabela3[Modalidade de Ensino],"Presencial")</f>
        <v>0</v>
      </c>
      <c r="C5" s="55">
        <f>SUMIFS(Tabela3[Inscritos],Tabela3[Ano],"2021",Tabela3[Modalidade de Ensino],"Presencial")</f>
        <v>0</v>
      </c>
      <c r="D5" s="55">
        <f>SUMIFS(Tabela3[Matriculados],Tabela3[Ano],"2021",Tabela3[Modalidade de Ensino],"Presencial")</f>
        <v>0</v>
      </c>
      <c r="E5" s="55">
        <f>SUMIFS(Tabela3[Aprovados],Tabela3[Ano],"2021",Tabela3[Modalidade de Ensino],"Presencial")</f>
        <v>0</v>
      </c>
      <c r="F5" s="57">
        <f t="shared" si="0"/>
        <v>0</v>
      </c>
      <c r="G5" s="55">
        <f>SUMIFS(Tabela3[Reprovados],Tabela3[Ano],"2021",Tabela3[Modalidade de Ensino],"Presencial")</f>
        <v>0</v>
      </c>
      <c r="H5" s="55">
        <f>SUMIFS(Tabela3[Desistentes],Tabela3[Ano],"2021",Tabela3[Modalidade de Ensino],"Presencial")</f>
        <v>0</v>
      </c>
      <c r="I5" s="55">
        <f>SUMIFS(Tabela3[Não responderam o 1º questionário],Tabela3[Ano],"2021",Tabela3[Modalidade de Ensino],"Presencial")</f>
        <v>0</v>
      </c>
      <c r="J5" s="89">
        <f>SUMIFS(Tabela3[Nunca acessaram o curso],Tabela3[Ano],"2021",Tabela3[Modalidade de Ensino],"Presencial")</f>
        <v>0</v>
      </c>
    </row>
    <row r="6" spans="1:10" x14ac:dyDescent="0.25">
      <c r="A6" s="90" t="s">
        <v>252</v>
      </c>
      <c r="B6" s="60">
        <f>COUNTIFS(Tabela3[Ano],"2021",Tabela3[Modalidade de Ensino],"A Distância (EaD)")</f>
        <v>6</v>
      </c>
      <c r="C6" s="60">
        <f>SUMIFS(Tabela3[Inscritos],Tabela3[Ano],"2021",Tabela3[Modalidade de Ensino],"A Distância (EaD)")</f>
        <v>452</v>
      </c>
      <c r="D6" s="60">
        <f>SUMIFS(Tabela3[Matriculados],Tabela3[Ano],"2021",Tabela3[Modalidade de Ensino],"A Distância (EaD)")</f>
        <v>452</v>
      </c>
      <c r="E6" s="60">
        <f>SUMIFS(Tabela3[Aprovados],Tabela3[Ano],"2021",Tabela3[Modalidade de Ensino],"A Distância (EaD)")</f>
        <v>280</v>
      </c>
      <c r="F6" s="57">
        <f t="shared" si="0"/>
        <v>61.946902654867259</v>
      </c>
      <c r="G6" s="60">
        <f>SUMIFS(Tabela3[Reprovados],Tabela3[Ano],"2021",Tabela3[Modalidade de Ensino],"A Distância (EaD)")</f>
        <v>16</v>
      </c>
      <c r="H6" s="60">
        <f>SUMIFS(Tabela3[Desistentes],Tabela3[Ano],"2021",Tabela3[Modalidade de Ensino],"A Distância (EaD)")</f>
        <v>80</v>
      </c>
      <c r="I6" s="60">
        <f>SUMIFS(Tabela3[Não responderam o 1º questionário],Tabela3[Ano],"2021",Tabela3[Modalidade de Ensino],"A Distância (EaD)")</f>
        <v>32</v>
      </c>
      <c r="J6" s="91">
        <f>SUMIFS(Tabela3[Nunca acessaram o curso],Tabela3[Ano],"2021",Tabela3[Modalidade de Ensino],"A Distância (EaD)")</f>
        <v>44</v>
      </c>
    </row>
    <row r="7" spans="1:10" ht="15.75" customHeight="1" x14ac:dyDescent="0.25">
      <c r="A7" s="92" t="s">
        <v>253</v>
      </c>
      <c r="B7" s="64">
        <f>COUNTIFS(Tabela3[Ano],"2021",Tabela3[Modalidade de Ensino],"Semipresencial")</f>
        <v>0</v>
      </c>
      <c r="C7" s="64">
        <f>SUMIFS(Tabela3[Inscritos],Tabela3[Ano],"2021",Tabela3[Modalidade de Ensino],"Semipresencial")</f>
        <v>0</v>
      </c>
      <c r="D7" s="64">
        <f>SUMIFS(Tabela3[Matriculados],Tabela3[Ano],"2021",Tabela3[Modalidade de Ensino],"Semipresencial")</f>
        <v>0</v>
      </c>
      <c r="E7" s="64">
        <f>SUMIFS(Tabela3[Aprovados],Tabela3[Ano],"2021",Tabela3[Modalidade de Ensino],"Semipresencial")</f>
        <v>0</v>
      </c>
      <c r="F7" s="101">
        <f t="shared" si="0"/>
        <v>0</v>
      </c>
      <c r="G7" s="64">
        <f>SUMIFS(Tabela3[Reprovados],Tabela3[Ano],"2021",Tabela3[Modalidade de Ensino],"Semipresencial")</f>
        <v>0</v>
      </c>
      <c r="H7" s="64">
        <f>SUMIFS(Tabela3[Desistentes],Tabela3[Ano],"2021",Tabela3[Modalidade de Ensino],"Semipresencial")</f>
        <v>0</v>
      </c>
      <c r="I7" s="64">
        <f>SUMIFS(Tabela3[Não responderam o 1º questionário],Tabela3[Ano],"2021",Tabela3[Modalidade de Ensino],"Semipresencial")</f>
        <v>0</v>
      </c>
      <c r="J7" s="93">
        <f>SUMIFS(Tabela3[Nunca acessaram o curso],Tabela3[Ano],"2021",Tabela3[Modalidade de Ensino],"Semipresencial")</f>
        <v>0</v>
      </c>
    </row>
    <row r="8" spans="1:10" ht="25.5" hidden="1" customHeight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108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47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24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t="25.5" hidden="1" customHeight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24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4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hidden="1" customHeight="1" x14ac:dyDescent="0.25">
      <c r="A14" s="90" t="str">
        <f>IF('Controle adm. dos cursos'!H9=2019,'Controle adm. dos cursos'!D9," ")</f>
        <v>Atendimento de Emergências em Edificações</v>
      </c>
      <c r="B14" s="60"/>
      <c r="C14" s="60">
        <f>'Resumo dos cursos'!N9</f>
        <v>277</v>
      </c>
      <c r="D14" s="60">
        <f>'Resumo dos cursos'!O9</f>
        <v>277</v>
      </c>
      <c r="E14" s="60">
        <f>'Resumo dos cursos'!P9</f>
        <v>190</v>
      </c>
      <c r="F14" s="57">
        <f t="shared" si="0"/>
        <v>68.592057761732846</v>
      </c>
      <c r="G14" s="60">
        <f>'Resumo dos cursos'!R9</f>
        <v>7</v>
      </c>
      <c r="H14" s="60">
        <f>'Resumo dos cursos'!S9</f>
        <v>8</v>
      </c>
      <c r="I14" s="60">
        <f>'Resumo dos cursos'!T9</f>
        <v>11</v>
      </c>
      <c r="J14" s="91">
        <f>'Resumo dos cursos'!U9</f>
        <v>61</v>
      </c>
    </row>
    <row r="15" spans="1:10" ht="38.25" x14ac:dyDescent="0.25">
      <c r="A15" s="90" t="str">
        <f>IF('Controle adm. dos cursos'!H14=2021,'Controle adm. dos cursos'!D14," ")</f>
        <v>Conhecimentos Básicos para Integrantes da Rede Estadual de Emergência de Radioamadores</v>
      </c>
      <c r="B15" s="98" t="str">
        <f>'Controle adm. dos cursos'!G14</f>
        <v>Turma 2021</v>
      </c>
      <c r="C15" s="60">
        <f>'Resumo dos cursos'!N14</f>
        <v>126</v>
      </c>
      <c r="D15" s="60">
        <f>'Resumo dos cursos'!O14</f>
        <v>126</v>
      </c>
      <c r="E15" s="60">
        <f>'Resumo dos cursos'!P14</f>
        <v>87</v>
      </c>
      <c r="F15" s="57">
        <f t="shared" si="0"/>
        <v>69.047619047619051</v>
      </c>
      <c r="G15" s="60">
        <f>'Resumo dos cursos'!R14</f>
        <v>4</v>
      </c>
      <c r="H15" s="60">
        <f>'Resumo dos cursos'!S14</f>
        <v>4</v>
      </c>
      <c r="I15" s="60">
        <f>'Resumo dos cursos'!T14</f>
        <v>9</v>
      </c>
      <c r="J15" s="91">
        <f>'Resumo dos cursos'!U14</f>
        <v>22</v>
      </c>
    </row>
    <row r="16" spans="1:10" ht="38.25" x14ac:dyDescent="0.25">
      <c r="A16" s="90" t="str">
        <f>IF('Controle adm. dos cursos'!H15=2021,'Controle adm. dos cursos'!D15," ")</f>
        <v>Conhecimentos Fundamentais para Gestores Municipais de Proteção e Defesa Civil</v>
      </c>
      <c r="B16" s="98" t="str">
        <f>'Controle adm. dos cursos'!G15</f>
        <v>Turma I 2021</v>
      </c>
      <c r="C16" s="60">
        <f>'Resumo dos cursos'!N15</f>
        <v>176</v>
      </c>
      <c r="D16" s="60">
        <f>'Resumo dos cursos'!O15</f>
        <v>176</v>
      </c>
      <c r="E16" s="60">
        <f>'Resumo dos cursos'!P15</f>
        <v>106</v>
      </c>
      <c r="F16" s="57">
        <f t="shared" si="0"/>
        <v>60.227272727272727</v>
      </c>
      <c r="G16" s="60">
        <f>'Resumo dos cursos'!R15</f>
        <v>1</v>
      </c>
      <c r="H16" s="60">
        <f>'Resumo dos cursos'!S15</f>
        <v>69</v>
      </c>
      <c r="I16" s="60">
        <f>'Resumo dos cursos'!T15</f>
        <v>0</v>
      </c>
      <c r="J16" s="91">
        <f>'Resumo dos cursos'!U15</f>
        <v>0</v>
      </c>
    </row>
    <row r="17" spans="1:10" x14ac:dyDescent="0.25">
      <c r="A17" s="90" t="str">
        <f>IF('Controle adm. dos cursos'!H16=2021,'Controle adm. dos cursos'!D16," ")</f>
        <v>Sistema de Comando de Incidentes</v>
      </c>
      <c r="B17" s="98" t="str">
        <f>'Controle adm. dos cursos'!G16</f>
        <v>Turma 5ª Divisão de Exército</v>
      </c>
      <c r="C17" s="60">
        <f>'Resumo dos cursos'!N16</f>
        <v>28</v>
      </c>
      <c r="D17" s="60">
        <f>'Resumo dos cursos'!O16</f>
        <v>28</v>
      </c>
      <c r="E17" s="60">
        <f>'Resumo dos cursos'!P16</f>
        <v>27</v>
      </c>
      <c r="F17" s="57">
        <f t="shared" si="0"/>
        <v>96.428571428571431</v>
      </c>
      <c r="G17" s="60">
        <f>'Resumo dos cursos'!R16</f>
        <v>1</v>
      </c>
      <c r="H17" s="60">
        <f>'Resumo dos cursos'!S16</f>
        <v>0</v>
      </c>
      <c r="I17" s="60">
        <f>'Resumo dos cursos'!T16</f>
        <v>0</v>
      </c>
      <c r="J17" s="91">
        <f>'Resumo dos cursos'!U16</f>
        <v>0</v>
      </c>
    </row>
    <row r="18" spans="1:10" ht="38.25" x14ac:dyDescent="0.25">
      <c r="A18" s="90" t="str">
        <f>IF('Controle adm. dos cursos'!H17=2021,'Controle adm. dos cursos'!D17," ")</f>
        <v>Conhecimentos Básicos para Integrantes da Rede Estadual de Emergência de Radioamadores</v>
      </c>
      <c r="B18" s="98" t="str">
        <f>'Controle adm. dos cursos'!G17</f>
        <v>Turma II 2021</v>
      </c>
      <c r="C18" s="60">
        <f>'Resumo dos cursos'!N17</f>
        <v>40</v>
      </c>
      <c r="D18" s="60">
        <f>'Resumo dos cursos'!O17</f>
        <v>40</v>
      </c>
      <c r="E18" s="60">
        <f>'Resumo dos cursos'!P17</f>
        <v>12</v>
      </c>
      <c r="F18" s="57">
        <f t="shared" si="0"/>
        <v>30</v>
      </c>
      <c r="G18" s="60">
        <f>'Resumo dos cursos'!R17</f>
        <v>4</v>
      </c>
      <c r="H18" s="60">
        <f>'Resumo dos cursos'!S17</f>
        <v>2</v>
      </c>
      <c r="I18" s="60">
        <f>'Resumo dos cursos'!T17</f>
        <v>0</v>
      </c>
      <c r="J18" s="91">
        <f>'Resumo dos cursos'!U17</f>
        <v>22</v>
      </c>
    </row>
    <row r="19" spans="1:10" ht="38.25" x14ac:dyDescent="0.25">
      <c r="A19" s="90" t="str">
        <f>IF('Controle adm. dos cursos'!H18=2021,'Controle adm. dos cursos'!D18," ")</f>
        <v>Conhecimentos Fundamentais para Gestores Municipais de Proteção e Defesa Civil</v>
      </c>
      <c r="B19" s="98" t="str">
        <f>'Controle adm. dos cursos'!G18</f>
        <v>Turma II 2021</v>
      </c>
      <c r="C19" s="60">
        <f>'Resumo dos cursos'!N18</f>
        <v>34</v>
      </c>
      <c r="D19" s="60">
        <f>'Resumo dos cursos'!O18</f>
        <v>34</v>
      </c>
      <c r="E19" s="60">
        <f>'Resumo dos cursos'!P18</f>
        <v>22</v>
      </c>
      <c r="F19" s="57">
        <f t="shared" si="0"/>
        <v>64.705882352941174</v>
      </c>
      <c r="G19" s="60">
        <f>'Resumo dos cursos'!R18</f>
        <v>1</v>
      </c>
      <c r="H19" s="60">
        <f>'Resumo dos cursos'!S18</f>
        <v>0</v>
      </c>
      <c r="I19" s="60">
        <f>'Resumo dos cursos'!T18</f>
        <v>11</v>
      </c>
      <c r="J19" s="91">
        <f>'Resumo dos cursos'!U18</f>
        <v>0</v>
      </c>
    </row>
    <row r="20" spans="1:10" x14ac:dyDescent="0.25">
      <c r="A20" s="92" t="str">
        <f>IF('Controle adm. dos cursos'!H19=2021,'Controle adm. dos cursos'!D19," ")</f>
        <v>Sistema de Comando de Incidentes</v>
      </c>
      <c r="B20" s="109" t="str">
        <f>'Controle adm. dos cursos'!G19</f>
        <v>Turma COSMO  2021</v>
      </c>
      <c r="C20" s="64">
        <f>'Resumo dos cursos'!N19</f>
        <v>48</v>
      </c>
      <c r="D20" s="64">
        <f>'Resumo dos cursos'!O19</f>
        <v>48</v>
      </c>
      <c r="E20" s="64">
        <f>'Resumo dos cursos'!P19</f>
        <v>26</v>
      </c>
      <c r="F20" s="101">
        <f t="shared" si="0"/>
        <v>54.166666666666664</v>
      </c>
      <c r="G20" s="64">
        <f>'Resumo dos cursos'!R19</f>
        <v>5</v>
      </c>
      <c r="H20" s="64">
        <f>'Resumo dos cursos'!S19</f>
        <v>5</v>
      </c>
      <c r="I20" s="64">
        <f>'Resumo dos cursos'!T19</f>
        <v>12</v>
      </c>
      <c r="J20" s="93">
        <f>'Resumo dos cursos'!U19</f>
        <v>0</v>
      </c>
    </row>
    <row r="21" spans="1:10" x14ac:dyDescent="0.25">
      <c r="A21" s="15"/>
      <c r="F21" s="15"/>
    </row>
    <row r="22" spans="1:10" x14ac:dyDescent="0.25">
      <c r="A22" s="15"/>
      <c r="F22" s="15"/>
    </row>
    <row r="23" spans="1:10" x14ac:dyDescent="0.25">
      <c r="A23" s="15"/>
      <c r="F23" s="15"/>
    </row>
    <row r="24" spans="1:10" x14ac:dyDescent="0.25">
      <c r="A24" s="15"/>
      <c r="E24" s="19"/>
      <c r="F24" s="15"/>
    </row>
    <row r="25" spans="1:10" x14ac:dyDescent="0.25">
      <c r="A25" s="15"/>
      <c r="E25" s="19"/>
      <c r="F25" s="15"/>
    </row>
    <row r="26" spans="1:10" x14ac:dyDescent="0.25">
      <c r="A26" s="15"/>
      <c r="E26" s="19"/>
      <c r="F26" s="15"/>
    </row>
    <row r="27" spans="1:10" x14ac:dyDescent="0.25">
      <c r="A27" s="15"/>
      <c r="E27" s="19"/>
      <c r="F27" s="15"/>
    </row>
  </sheetData>
  <sheetProtection algorithmName="SHA-512" hashValue="U/e7gI49KaVkSjE6JmgNfC6kpflWI1bKjvvnm9BPqb6V+VJhQjEKdbFcskYKm6434hJelIIOKKUWmhLlGJZ9WA==" saltValue="38xLR+bmq8OmOtBcnFvukg==" spinCount="100000" sheet="1" objects="1" scenarios="1"/>
  <mergeCells count="3">
    <mergeCell ref="A1:J1"/>
    <mergeCell ref="B2:B3"/>
    <mergeCell ref="C2:J2"/>
  </mergeCells>
  <conditionalFormatting sqref="F5:F20">
    <cfRule type="cellIs" dxfId="25" priority="2" operator="equal">
      <formula>0</formula>
    </cfRule>
    <cfRule type="cellIs" dxfId="24" priority="3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="175" zoomScaleNormal="175" workbookViewId="0">
      <selection activeCell="D24" sqref="D24"/>
    </sheetView>
  </sheetViews>
  <sheetFormatPr defaultColWidth="9.140625" defaultRowHeight="14.25" x14ac:dyDescent="0.25"/>
  <cols>
    <col min="1" max="1" width="35.42578125" style="44" customWidth="1"/>
    <col min="2" max="2" width="11.5703125" style="15" customWidth="1"/>
    <col min="3" max="3" width="8.42578125" style="15" customWidth="1"/>
    <col min="4" max="4" width="12.5703125" style="15" customWidth="1"/>
    <col min="5" max="5" width="9.710937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269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customHeight="1" x14ac:dyDescent="0.25">
      <c r="A2" s="110"/>
      <c r="B2" s="164" t="s">
        <v>247</v>
      </c>
      <c r="C2" s="165" t="s">
        <v>248</v>
      </c>
      <c r="D2" s="165"/>
      <c r="E2" s="165"/>
      <c r="F2" s="165"/>
      <c r="G2" s="165"/>
      <c r="H2" s="165"/>
      <c r="I2" s="165"/>
      <c r="J2" s="165"/>
    </row>
    <row r="3" spans="1:10" ht="36" x14ac:dyDescent="0.25">
      <c r="A3" s="111"/>
      <c r="B3" s="164"/>
      <c r="C3" s="112" t="s">
        <v>229</v>
      </c>
      <c r="D3" s="112" t="s">
        <v>230</v>
      </c>
      <c r="E3" s="112" t="s">
        <v>231</v>
      </c>
      <c r="F3" s="113" t="s">
        <v>249</v>
      </c>
      <c r="G3" s="112" t="s">
        <v>233</v>
      </c>
      <c r="H3" s="112" t="s">
        <v>234</v>
      </c>
      <c r="I3" s="112" t="s">
        <v>235</v>
      </c>
      <c r="J3" s="114" t="s">
        <v>236</v>
      </c>
    </row>
    <row r="4" spans="1:10" ht="15.75" x14ac:dyDescent="0.25">
      <c r="A4" s="86" t="s">
        <v>250</v>
      </c>
      <c r="B4" s="51">
        <f>COUNTIF(Tabela3[Ano],"2022")</f>
        <v>15</v>
      </c>
      <c r="C4" s="51">
        <f>SUM(C5:C7)</f>
        <v>2225</v>
      </c>
      <c r="D4" s="51">
        <f>SUM(D5:D7)</f>
        <v>2225</v>
      </c>
      <c r="E4" s="51">
        <f>SUM(E5:E7)</f>
        <v>1592</v>
      </c>
      <c r="F4" s="52">
        <f t="shared" ref="F4:F35" si="0">IFERROR(((E4*100)/D4),0)</f>
        <v>71.550561797752806</v>
      </c>
      <c r="G4" s="51">
        <f>SUM(G5:G7)</f>
        <v>73</v>
      </c>
      <c r="H4" s="51">
        <f>SUM(H5:H7)</f>
        <v>70</v>
      </c>
      <c r="I4" s="51">
        <f>SUM(I5:I7)</f>
        <v>287</v>
      </c>
      <c r="J4" s="53">
        <f>SUM(J5:J7)</f>
        <v>203</v>
      </c>
    </row>
    <row r="5" spans="1:10" x14ac:dyDescent="0.25">
      <c r="A5" s="88" t="s">
        <v>251</v>
      </c>
      <c r="B5" s="56">
        <f>COUNTIFS(Tabela3[Ano],"2022",Tabela3[Modalidade de Ensino],"Presencial")</f>
        <v>2</v>
      </c>
      <c r="C5" s="56">
        <f>SUMIFS(Tabela3[Inscritos],Tabela3[Ano],"2022",Tabela3[Modalidade de Ensino],"Presencial")</f>
        <v>68</v>
      </c>
      <c r="D5" s="56">
        <f>SUMIFS(Tabela3[Matriculados],Tabela3[Ano],"2022",Tabela3[Modalidade de Ensino],"Presencial")</f>
        <v>68</v>
      </c>
      <c r="E5" s="56">
        <f>SUMIFS(Tabela3[Aprovados],Tabela3[Ano],"2022",Tabela3[Modalidade de Ensino],"Presencial")</f>
        <v>68</v>
      </c>
      <c r="F5" s="96">
        <f t="shared" si="0"/>
        <v>100</v>
      </c>
      <c r="G5" s="56">
        <f>SUMIFS(Tabela3[Reprovados],Tabela3[Ano],"2022",Tabela3[Modalidade de Ensino],"Presencial")</f>
        <v>0</v>
      </c>
      <c r="H5" s="56">
        <f>SUMIFS(Tabela3[Desistentes],Tabela3[Ano],"2022",Tabela3[Modalidade de Ensino],"Presencial")</f>
        <v>0</v>
      </c>
      <c r="I5" s="56">
        <f>SUMIFS(Tabela3[Não responderam o 1º questionário],Tabela3[Ano],"2022",Tabela3[Modalidade de Ensino],"Presencial")</f>
        <v>0</v>
      </c>
      <c r="J5" s="58">
        <f>SUMIFS(Tabela3[Nunca acessaram o curso],Tabela3[Ano],"2022",Tabela3[Modalidade de Ensino],"Presencial")</f>
        <v>0</v>
      </c>
    </row>
    <row r="6" spans="1:10" x14ac:dyDescent="0.25">
      <c r="A6" s="90" t="s">
        <v>252</v>
      </c>
      <c r="B6" s="61">
        <f>COUNTIFS(Tabela3[Ano],"2022",Tabela3[Modalidade de Ensino],"A Distância (EaD)")</f>
        <v>12</v>
      </c>
      <c r="C6" s="61">
        <f>SUMIFS(Tabela3[Inscritos],Tabela3[Ano],"2022",Tabela3[Modalidade de Ensino],"A Distância (EaD)")</f>
        <v>1375</v>
      </c>
      <c r="D6" s="61">
        <f>SUMIFS(Tabela3[Matriculados],Tabela3[Ano],"2022",Tabela3[Modalidade de Ensino],"A Distância (EaD)")</f>
        <v>1375</v>
      </c>
      <c r="E6" s="61">
        <f>SUMIFS(Tabela3[Aprovados],Tabela3[Ano],"2022",Tabela3[Modalidade de Ensino],"A Distância (EaD)")</f>
        <v>843</v>
      </c>
      <c r="F6" s="57">
        <f t="shared" si="0"/>
        <v>61.309090909090912</v>
      </c>
      <c r="G6" s="61">
        <f>SUMIFS(Tabela3[Reprovados],Tabela3[Ano],"2022",Tabela3[Modalidade de Ensino],"A Distância (EaD)")</f>
        <v>49</v>
      </c>
      <c r="H6" s="61">
        <f>SUMIFS(Tabela3[Desistentes],Tabela3[Ano],"2022",Tabela3[Modalidade de Ensino],"A Distância (EaD)")</f>
        <v>47</v>
      </c>
      <c r="I6" s="61">
        <f>SUMIFS(Tabela3[Não responderam o 1º questionário],Tabela3[Ano],"2022",Tabela3[Modalidade de Ensino],"A Distância (EaD)")</f>
        <v>233</v>
      </c>
      <c r="J6" s="62">
        <f>SUMIFS(Tabela3[Nunca acessaram o curso],Tabela3[Ano],"2022",Tabela3[Modalidade de Ensino],"A Distância (EaD)")</f>
        <v>203</v>
      </c>
    </row>
    <row r="7" spans="1:10" ht="15.75" customHeight="1" x14ac:dyDescent="0.25">
      <c r="A7" s="92" t="s">
        <v>253</v>
      </c>
      <c r="B7" s="65">
        <f>COUNTIFS(Tabela3[Ano],"2022",Tabela3[Modalidade de Ensino],"Semipresencial")</f>
        <v>1</v>
      </c>
      <c r="C7" s="65">
        <f>SUMIFS(Tabela3[Inscritos],Tabela3[Ano],"2022",Tabela3[Modalidade de Ensino],"Semipresencial")</f>
        <v>782</v>
      </c>
      <c r="D7" s="65">
        <f>SUMIFS(Tabela3[Matriculados],Tabela3[Ano],"2022",Tabela3[Modalidade de Ensino],"Semipresencial")</f>
        <v>782</v>
      </c>
      <c r="E7" s="65">
        <f>SUMIFS(Tabela3[Aprovados],Tabela3[Ano],"2022",Tabela3[Modalidade de Ensino],"Semipresencial")</f>
        <v>681</v>
      </c>
      <c r="F7" s="101">
        <f t="shared" si="0"/>
        <v>87.084398976982101</v>
      </c>
      <c r="G7" s="65">
        <f>SUMIFS(Tabela3[Reprovados],Tabela3[Ano],"2022",Tabela3[Modalidade de Ensino],"Semipresencial")</f>
        <v>24</v>
      </c>
      <c r="H7" s="65">
        <f>SUMIFS(Tabela3[Desistentes],Tabela3[Ano],"2022",Tabela3[Modalidade de Ensino],"Semipresencial")</f>
        <v>23</v>
      </c>
      <c r="I7" s="65">
        <f>SUMIFS(Tabela3[Não responderam o 1º questionário],Tabela3[Ano],"2022",Tabela3[Modalidade de Ensino],"Semipresencial")</f>
        <v>54</v>
      </c>
      <c r="J7" s="67">
        <f>SUMIFS(Tabela3[Nunca acessaram o curso],Tabela3[Ano],"2022",Tabela3[Modalidade de Ensino],"Semipresencial")</f>
        <v>0</v>
      </c>
    </row>
    <row r="8" spans="1:10" ht="25.5" hidden="1" customHeight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47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24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t="25.5" hidden="1" customHeight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24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4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hidden="1" customHeight="1" x14ac:dyDescent="0.25">
      <c r="A14" s="90" t="str">
        <f>IF('Controle adm. dos cursos'!H9=2019,'Controle adm. dos cursos'!D9," ")</f>
        <v>Atendimento de Emergências em Edificações</v>
      </c>
      <c r="B14" s="60"/>
      <c r="C14" s="60">
        <f>'Resumo dos cursos'!N9</f>
        <v>277</v>
      </c>
      <c r="D14" s="60">
        <f>'Resumo dos cursos'!O9</f>
        <v>277</v>
      </c>
      <c r="E14" s="60">
        <f>'Resumo dos cursos'!P9</f>
        <v>190</v>
      </c>
      <c r="F14" s="57">
        <f t="shared" si="0"/>
        <v>68.592057761732846</v>
      </c>
      <c r="G14" s="60">
        <f>'Resumo dos cursos'!R9</f>
        <v>7</v>
      </c>
      <c r="H14" s="60">
        <f>'Resumo dos cursos'!S9</f>
        <v>8</v>
      </c>
      <c r="I14" s="60">
        <f>'Resumo dos cursos'!T9</f>
        <v>11</v>
      </c>
      <c r="J14" s="91">
        <f>'Resumo dos cursos'!U9</f>
        <v>61</v>
      </c>
    </row>
    <row r="15" spans="1:10" ht="38.25" hidden="1" x14ac:dyDescent="0.25">
      <c r="A15" s="90" t="str">
        <f>IF('Controle adm. dos cursos'!H14=2021,'Controle adm. dos cursos'!D14," ")</f>
        <v>Conhecimentos Básicos para Integrantes da Rede Estadual de Emergência de Radioamadores</v>
      </c>
      <c r="B15" s="98" t="str">
        <f>'Controle adm. dos cursos'!G14</f>
        <v>Turma 2021</v>
      </c>
      <c r="C15" s="60">
        <f>'Resumo dos cursos'!N14</f>
        <v>126</v>
      </c>
      <c r="D15" s="60">
        <f>'Resumo dos cursos'!O14</f>
        <v>126</v>
      </c>
      <c r="E15" s="60">
        <f>'Resumo dos cursos'!P14</f>
        <v>87</v>
      </c>
      <c r="F15" s="57">
        <f t="shared" si="0"/>
        <v>69.047619047619051</v>
      </c>
      <c r="G15" s="60">
        <f>'Resumo dos cursos'!R14</f>
        <v>4</v>
      </c>
      <c r="H15" s="60">
        <f>'Resumo dos cursos'!S14</f>
        <v>4</v>
      </c>
      <c r="I15" s="60">
        <f>'Resumo dos cursos'!T14</f>
        <v>9</v>
      </c>
      <c r="J15" s="91">
        <f>'Resumo dos cursos'!U14</f>
        <v>22</v>
      </c>
    </row>
    <row r="16" spans="1:10" ht="38.25" hidden="1" x14ac:dyDescent="0.25">
      <c r="A16" s="90" t="str">
        <f>IF('Controle adm. dos cursos'!H15=2021,'Controle adm. dos cursos'!D15," ")</f>
        <v>Conhecimentos Fundamentais para Gestores Municipais de Proteção e Defesa Civil</v>
      </c>
      <c r="B16" s="98" t="str">
        <f>'Controle adm. dos cursos'!G15</f>
        <v>Turma I 2021</v>
      </c>
      <c r="C16" s="60">
        <f>'Resumo dos cursos'!N15</f>
        <v>176</v>
      </c>
      <c r="D16" s="60">
        <f>'Resumo dos cursos'!O15</f>
        <v>176</v>
      </c>
      <c r="E16" s="60">
        <f>'Resumo dos cursos'!P15</f>
        <v>106</v>
      </c>
      <c r="F16" s="57">
        <f t="shared" si="0"/>
        <v>60.227272727272727</v>
      </c>
      <c r="G16" s="60">
        <f>'Resumo dos cursos'!R15</f>
        <v>1</v>
      </c>
      <c r="H16" s="60">
        <f>'Resumo dos cursos'!S15</f>
        <v>69</v>
      </c>
      <c r="I16" s="60">
        <f>'Resumo dos cursos'!T15</f>
        <v>0</v>
      </c>
      <c r="J16" s="91">
        <f>'Resumo dos cursos'!U15</f>
        <v>0</v>
      </c>
    </row>
    <row r="17" spans="1:10" hidden="1" x14ac:dyDescent="0.25">
      <c r="A17" s="90" t="str">
        <f>IF('Controle adm. dos cursos'!H16=2021,'Controle adm. dos cursos'!D16," ")</f>
        <v>Sistema de Comando de Incidentes</v>
      </c>
      <c r="B17" s="98" t="str">
        <f>'Controle adm. dos cursos'!G16</f>
        <v>Turma 5ª Divisão de Exército</v>
      </c>
      <c r="C17" s="60">
        <f>'Resumo dos cursos'!N16</f>
        <v>28</v>
      </c>
      <c r="D17" s="60">
        <f>'Resumo dos cursos'!O16</f>
        <v>28</v>
      </c>
      <c r="E17" s="60">
        <f>'Resumo dos cursos'!P16</f>
        <v>27</v>
      </c>
      <c r="F17" s="57">
        <f t="shared" si="0"/>
        <v>96.428571428571431</v>
      </c>
      <c r="G17" s="60">
        <f>'Resumo dos cursos'!R16</f>
        <v>1</v>
      </c>
      <c r="H17" s="60">
        <f>'Resumo dos cursos'!S16</f>
        <v>0</v>
      </c>
      <c r="I17" s="60">
        <f>'Resumo dos cursos'!T16</f>
        <v>0</v>
      </c>
      <c r="J17" s="91">
        <f>'Resumo dos cursos'!U16</f>
        <v>0</v>
      </c>
    </row>
    <row r="18" spans="1:10" ht="38.25" hidden="1" x14ac:dyDescent="0.25">
      <c r="A18" s="90" t="str">
        <f>IF('Controle adm. dos cursos'!H17=2021,'Controle adm. dos cursos'!D17," ")</f>
        <v>Conhecimentos Básicos para Integrantes da Rede Estadual de Emergência de Radioamadores</v>
      </c>
      <c r="B18" s="98" t="str">
        <f>'Controle adm. dos cursos'!G17</f>
        <v>Turma II 2021</v>
      </c>
      <c r="C18" s="60">
        <f>'Resumo dos cursos'!N17</f>
        <v>40</v>
      </c>
      <c r="D18" s="60">
        <f>'Resumo dos cursos'!O17</f>
        <v>40</v>
      </c>
      <c r="E18" s="60">
        <f>'Resumo dos cursos'!P17</f>
        <v>12</v>
      </c>
      <c r="F18" s="57">
        <f t="shared" si="0"/>
        <v>30</v>
      </c>
      <c r="G18" s="60">
        <f>'Resumo dos cursos'!R17</f>
        <v>4</v>
      </c>
      <c r="H18" s="60">
        <f>'Resumo dos cursos'!S17</f>
        <v>2</v>
      </c>
      <c r="I18" s="60">
        <f>'Resumo dos cursos'!T17</f>
        <v>0</v>
      </c>
      <c r="J18" s="91">
        <f>'Resumo dos cursos'!U17</f>
        <v>22</v>
      </c>
    </row>
    <row r="19" spans="1:10" ht="38.25" hidden="1" x14ac:dyDescent="0.25">
      <c r="A19" s="90" t="str">
        <f>IF('Controle adm. dos cursos'!H18=2021,'Controle adm. dos cursos'!D18," ")</f>
        <v>Conhecimentos Fundamentais para Gestores Municipais de Proteção e Defesa Civil</v>
      </c>
      <c r="B19" s="98" t="str">
        <f>'Controle adm. dos cursos'!G18</f>
        <v>Turma II 2021</v>
      </c>
      <c r="C19" s="60">
        <f>'Resumo dos cursos'!N18</f>
        <v>34</v>
      </c>
      <c r="D19" s="60">
        <f>'Resumo dos cursos'!O18</f>
        <v>34</v>
      </c>
      <c r="E19" s="60">
        <f>'Resumo dos cursos'!P18</f>
        <v>22</v>
      </c>
      <c r="F19" s="57">
        <f t="shared" si="0"/>
        <v>64.705882352941174</v>
      </c>
      <c r="G19" s="60">
        <f>'Resumo dos cursos'!R18</f>
        <v>1</v>
      </c>
      <c r="H19" s="60">
        <f>'Resumo dos cursos'!S18</f>
        <v>0</v>
      </c>
      <c r="I19" s="60">
        <f>'Resumo dos cursos'!T18</f>
        <v>11</v>
      </c>
      <c r="J19" s="91">
        <f>'Resumo dos cursos'!U18</f>
        <v>0</v>
      </c>
    </row>
    <row r="20" spans="1:10" hidden="1" x14ac:dyDescent="0.25">
      <c r="A20" s="99" t="str">
        <f>IF('Controle adm. dos cursos'!H19=2021,'Controle adm. dos cursos'!D19," ")</f>
        <v>Sistema de Comando de Incidentes</v>
      </c>
      <c r="B20" s="115" t="str">
        <f>'Controle adm. dos cursos'!G19</f>
        <v>Turma COSMO  2021</v>
      </c>
      <c r="C20" s="103">
        <f>'Resumo dos cursos'!N19</f>
        <v>48</v>
      </c>
      <c r="D20" s="103">
        <f>'Resumo dos cursos'!O19</f>
        <v>48</v>
      </c>
      <c r="E20" s="103">
        <f>'Resumo dos cursos'!P19</f>
        <v>26</v>
      </c>
      <c r="F20" s="104">
        <f t="shared" si="0"/>
        <v>54.166666666666664</v>
      </c>
      <c r="G20" s="103">
        <f>'Resumo dos cursos'!R19</f>
        <v>5</v>
      </c>
      <c r="H20" s="103">
        <f>'Resumo dos cursos'!S19</f>
        <v>5</v>
      </c>
      <c r="I20" s="103">
        <f>'Resumo dos cursos'!T19</f>
        <v>12</v>
      </c>
      <c r="J20" s="105">
        <f>'Resumo dos cursos'!U19</f>
        <v>0</v>
      </c>
    </row>
    <row r="21" spans="1:10" ht="25.5" x14ac:dyDescent="0.25">
      <c r="A21" s="88" t="str">
        <f>IF('Controle adm. dos cursos'!H20=2022,'Controle adm. dos cursos'!D20," ")</f>
        <v>Atendimento a Emergências com Produtos Perigosos</v>
      </c>
      <c r="B21" s="116" t="str">
        <f>'Controle adm. dos cursos'!G20</f>
        <v>Turma I 2022</v>
      </c>
      <c r="C21" s="55">
        <f>'Resumo dos cursos'!N20</f>
        <v>54</v>
      </c>
      <c r="D21" s="55">
        <f>'Resumo dos cursos'!O20</f>
        <v>54</v>
      </c>
      <c r="E21" s="55">
        <f>'Resumo dos cursos'!P20</f>
        <v>33</v>
      </c>
      <c r="F21" s="106">
        <f t="shared" si="0"/>
        <v>61.111111111111114</v>
      </c>
      <c r="G21" s="55">
        <f>'Resumo dos cursos'!R20</f>
        <v>0</v>
      </c>
      <c r="H21" s="55">
        <f>'Resumo dos cursos'!S20</f>
        <v>8</v>
      </c>
      <c r="I21" s="55">
        <f>'Resumo dos cursos'!T20</f>
        <v>13</v>
      </c>
      <c r="J21" s="89">
        <f>'Resumo dos cursos'!U20</f>
        <v>0</v>
      </c>
    </row>
    <row r="22" spans="1:10" ht="23.25" customHeight="1" x14ac:dyDescent="0.25">
      <c r="A22" s="90" t="str">
        <f>IF('Controle adm. dos cursos'!H21=2022,'Controle adm. dos cursos'!D21," ")</f>
        <v>Sistema de Comando de Incidentes</v>
      </c>
      <c r="B22" s="98" t="str">
        <f>'Controle adm. dos cursos'!G21</f>
        <v>Turma: IMUV</v>
      </c>
      <c r="C22" s="60">
        <f>'Resumo dos cursos'!N21</f>
        <v>297</v>
      </c>
      <c r="D22" s="60">
        <f>'Resumo dos cursos'!O21</f>
        <v>297</v>
      </c>
      <c r="E22" s="60">
        <f>'Resumo dos cursos'!P21</f>
        <v>57</v>
      </c>
      <c r="F22" s="57">
        <f t="shared" si="0"/>
        <v>19.19191919191919</v>
      </c>
      <c r="G22" s="60">
        <f>'Resumo dos cursos'!R21</f>
        <v>8</v>
      </c>
      <c r="H22" s="60">
        <f>'Resumo dos cursos'!S21</f>
        <v>6</v>
      </c>
      <c r="I22" s="60">
        <f>'Resumo dos cursos'!T21</f>
        <v>26</v>
      </c>
      <c r="J22" s="91">
        <f>'Resumo dos cursos'!U21</f>
        <v>200</v>
      </c>
    </row>
    <row r="23" spans="1:10" ht="23.25" customHeight="1" x14ac:dyDescent="0.25">
      <c r="A23" s="90" t="str">
        <f>IF('Controle adm. dos cursos'!H22=2022,'Controle adm. dos cursos'!D22," ")</f>
        <v>Curso de Prevenção e Combate a Incêndios Florestais</v>
      </c>
      <c r="B23" s="98" t="str">
        <f>'Controle adm. dos cursos'!G22</f>
        <v>TURMA Vila Velha</v>
      </c>
      <c r="C23" s="60">
        <f>'Resumo dos cursos'!N22</f>
        <v>36</v>
      </c>
      <c r="D23" s="60">
        <f>'Resumo dos cursos'!O22</f>
        <v>36</v>
      </c>
      <c r="E23" s="60">
        <f>'Resumo dos cursos'!P22</f>
        <v>36</v>
      </c>
      <c r="F23" s="57">
        <f t="shared" si="0"/>
        <v>100</v>
      </c>
      <c r="G23" s="60">
        <f>'Resumo dos cursos'!R22</f>
        <v>0</v>
      </c>
      <c r="H23" s="60">
        <f>'Resumo dos cursos'!S22</f>
        <v>0</v>
      </c>
      <c r="I23" s="60">
        <f>'Resumo dos cursos'!T22</f>
        <v>0</v>
      </c>
      <c r="J23" s="91">
        <f>'Resumo dos cursos'!U22</f>
        <v>0</v>
      </c>
    </row>
    <row r="24" spans="1:10" x14ac:dyDescent="0.25">
      <c r="A24" s="90" t="str">
        <f>IF('Controle adm. dos cursos'!H23=2022,'Controle adm. dos cursos'!D23," ")</f>
        <v>Sistema de Comando de Incidentes</v>
      </c>
      <c r="B24" s="98" t="str">
        <f>'Controle adm. dos cursos'!G23</f>
        <v>Turma I Orgãos de Apoio CEDEC</v>
      </c>
      <c r="C24" s="60">
        <f>'Resumo dos cursos'!N23</f>
        <v>185</v>
      </c>
      <c r="D24" s="60">
        <f>'Resumo dos cursos'!O23</f>
        <v>185</v>
      </c>
      <c r="E24" s="60">
        <f>'Resumo dos cursos'!P23</f>
        <v>120</v>
      </c>
      <c r="F24" s="57">
        <f t="shared" si="0"/>
        <v>64.86486486486487</v>
      </c>
      <c r="G24" s="60">
        <f>'Resumo dos cursos'!R23</f>
        <v>12</v>
      </c>
      <c r="H24" s="60">
        <f>'Resumo dos cursos'!S23</f>
        <v>10</v>
      </c>
      <c r="I24" s="60">
        <f>'Resumo dos cursos'!T23</f>
        <v>43</v>
      </c>
      <c r="J24" s="91">
        <f>'Resumo dos cursos'!U23</f>
        <v>0</v>
      </c>
    </row>
    <row r="25" spans="1:10" ht="38.25" x14ac:dyDescent="0.25">
      <c r="A25" s="90" t="str">
        <f>IF('Controle adm. dos cursos'!H24=2022,'Controle adm. dos cursos'!D24," ")</f>
        <v>Conhecimentos Fundamentais para Gestores Municipais de Proteção e Defesa Civil</v>
      </c>
      <c r="B25" s="98" t="str">
        <f>'Controle adm. dos cursos'!G24</f>
        <v>Turma I 2022</v>
      </c>
      <c r="C25" s="60">
        <f>'Resumo dos cursos'!N24</f>
        <v>40</v>
      </c>
      <c r="D25" s="60">
        <f>'Resumo dos cursos'!O24</f>
        <v>40</v>
      </c>
      <c r="E25" s="60">
        <f>'Resumo dos cursos'!P24</f>
        <v>24</v>
      </c>
      <c r="F25" s="57">
        <f t="shared" si="0"/>
        <v>60</v>
      </c>
      <c r="G25" s="60">
        <f>'Resumo dos cursos'!R24</f>
        <v>2</v>
      </c>
      <c r="H25" s="60">
        <f>'Resumo dos cursos'!S24</f>
        <v>0</v>
      </c>
      <c r="I25" s="60">
        <f>'Resumo dos cursos'!T24</f>
        <v>14</v>
      </c>
      <c r="J25" s="91">
        <f>'Resumo dos cursos'!U24</f>
        <v>0</v>
      </c>
    </row>
    <row r="26" spans="1:10" ht="23.25" customHeight="1" x14ac:dyDescent="0.25">
      <c r="A26" s="90" t="str">
        <f>IF('Controle adm. dos cursos'!H25=2022,'Controle adm. dos cursos'!D25," ")</f>
        <v>Sistema de Comando de Incidentes</v>
      </c>
      <c r="B26" s="98" t="str">
        <f>'Controle adm. dos cursos'!G25</f>
        <v>Turma MT</v>
      </c>
      <c r="C26" s="60">
        <f>'Resumo dos cursos'!N25</f>
        <v>177</v>
      </c>
      <c r="D26" s="60">
        <f>'Resumo dos cursos'!O25</f>
        <v>177</v>
      </c>
      <c r="E26" s="60">
        <f>'Resumo dos cursos'!P25</f>
        <v>155</v>
      </c>
      <c r="F26" s="57">
        <f t="shared" si="0"/>
        <v>87.570621468926561</v>
      </c>
      <c r="G26" s="60">
        <f>'Resumo dos cursos'!R25</f>
        <v>4</v>
      </c>
      <c r="H26" s="60">
        <f>'Resumo dos cursos'!S25</f>
        <v>2</v>
      </c>
      <c r="I26" s="60">
        <f>'Resumo dos cursos'!T25</f>
        <v>15</v>
      </c>
      <c r="J26" s="91">
        <f>'Resumo dos cursos'!U25</f>
        <v>1</v>
      </c>
    </row>
    <row r="27" spans="1:10" ht="25.5" x14ac:dyDescent="0.25">
      <c r="A27" s="90" t="str">
        <f>IF('Controle adm. dos cursos'!H26=2022,'Controle adm. dos cursos'!D26," ")</f>
        <v>RISCOS E DESASTRES: conhecimentos fundamentais</v>
      </c>
      <c r="B27" s="98" t="str">
        <f>'Controle adm. dos cursos'!G26</f>
        <v>Turma I 2022</v>
      </c>
      <c r="C27" s="60">
        <f>'Resumo dos cursos'!N26</f>
        <v>86</v>
      </c>
      <c r="D27" s="60">
        <f>'Resumo dos cursos'!O26</f>
        <v>86</v>
      </c>
      <c r="E27" s="60">
        <f>'Resumo dos cursos'!P26</f>
        <v>55</v>
      </c>
      <c r="F27" s="57">
        <f t="shared" si="0"/>
        <v>63.953488372093027</v>
      </c>
      <c r="G27" s="60">
        <f>'Resumo dos cursos'!R26</f>
        <v>5</v>
      </c>
      <c r="H27" s="60">
        <f>'Resumo dos cursos'!S26</f>
        <v>8</v>
      </c>
      <c r="I27" s="60">
        <f>'Resumo dos cursos'!T26</f>
        <v>16</v>
      </c>
      <c r="J27" s="91">
        <f>'Resumo dos cursos'!U26</f>
        <v>2</v>
      </c>
    </row>
    <row r="28" spans="1:10" ht="38.25" x14ac:dyDescent="0.25">
      <c r="A28" s="90" t="str">
        <f>IF('Controle adm. dos cursos'!H27=2022,'Controle adm. dos cursos'!D27," ")</f>
        <v>Conhecimentos Fundamentais para Gestores Municipais de Proteção e Defesa Civil</v>
      </c>
      <c r="B28" s="98" t="str">
        <f>'Controle adm. dos cursos'!G27</f>
        <v>Turma II 2022</v>
      </c>
      <c r="C28" s="60">
        <f>'Resumo dos cursos'!N27</f>
        <v>30</v>
      </c>
      <c r="D28" s="60">
        <f>'Resumo dos cursos'!O27</f>
        <v>30</v>
      </c>
      <c r="E28" s="60">
        <f>'Resumo dos cursos'!P27</f>
        <v>22</v>
      </c>
      <c r="F28" s="57">
        <f t="shared" si="0"/>
        <v>73.333333333333329</v>
      </c>
      <c r="G28" s="60">
        <f>'Resumo dos cursos'!R27</f>
        <v>1</v>
      </c>
      <c r="H28" s="60">
        <f>'Resumo dos cursos'!S27</f>
        <v>0</v>
      </c>
      <c r="I28" s="60">
        <f>'Resumo dos cursos'!T27</f>
        <v>7</v>
      </c>
      <c r="J28" s="91">
        <f>'Resumo dos cursos'!U27</f>
        <v>0</v>
      </c>
    </row>
    <row r="29" spans="1:10" ht="25.5" x14ac:dyDescent="0.25">
      <c r="A29" s="90" t="str">
        <f>IF('Controle adm. dos cursos'!H28=2022,'Controle adm. dos cursos'!D28," ")</f>
        <v>Curso de Prevenção e Combate a Incêndios Florestais</v>
      </c>
      <c r="B29" s="98" t="str">
        <f>'Controle adm. dos cursos'!G28</f>
        <v>TURMA Floresta Metropolitana</v>
      </c>
      <c r="C29" s="60">
        <f>'Resumo dos cursos'!N28</f>
        <v>32</v>
      </c>
      <c r="D29" s="60">
        <f>'Resumo dos cursos'!O28</f>
        <v>32</v>
      </c>
      <c r="E29" s="60">
        <f>'Resumo dos cursos'!P28</f>
        <v>32</v>
      </c>
      <c r="F29" s="57">
        <f t="shared" si="0"/>
        <v>100</v>
      </c>
      <c r="G29" s="60">
        <f>'Resumo dos cursos'!R28</f>
        <v>0</v>
      </c>
      <c r="H29" s="60">
        <f>'Resumo dos cursos'!S28</f>
        <v>0</v>
      </c>
      <c r="I29" s="60">
        <f>'Resumo dos cursos'!T28</f>
        <v>0</v>
      </c>
      <c r="J29" s="91">
        <f>'Resumo dos cursos'!U28</f>
        <v>0</v>
      </c>
    </row>
    <row r="30" spans="1:10" ht="38.25" x14ac:dyDescent="0.25">
      <c r="A30" s="90" t="str">
        <f>IF('Controle adm. dos cursos'!H29=2022,'Controle adm. dos cursos'!D29," ")</f>
        <v>Conhecimentos Básicos para Integrantes da Rede Estadual de Emergência de Radioamadores</v>
      </c>
      <c r="B30" s="98" t="str">
        <f>'Controle adm. dos cursos'!G29</f>
        <v>Turma I 2022</v>
      </c>
      <c r="C30" s="60">
        <f>'Resumo dos cursos'!N29</f>
        <v>22</v>
      </c>
      <c r="D30" s="60">
        <f>'Resumo dos cursos'!O29</f>
        <v>22</v>
      </c>
      <c r="E30" s="60">
        <f>'Resumo dos cursos'!P29</f>
        <v>18</v>
      </c>
      <c r="F30" s="57">
        <f t="shared" si="0"/>
        <v>81.818181818181813</v>
      </c>
      <c r="G30" s="60">
        <f>'Resumo dos cursos'!R29</f>
        <v>2</v>
      </c>
      <c r="H30" s="60">
        <f>'Resumo dos cursos'!S29</f>
        <v>0</v>
      </c>
      <c r="I30" s="60">
        <f>'Resumo dos cursos'!T29</f>
        <v>2</v>
      </c>
      <c r="J30" s="91">
        <f>'Resumo dos cursos'!U29</f>
        <v>0</v>
      </c>
    </row>
    <row r="31" spans="1:10" ht="23.25" customHeight="1" x14ac:dyDescent="0.25">
      <c r="A31" s="90" t="str">
        <f>IF('Controle adm. dos cursos'!H30=2022,'Controle adm. dos cursos'!D30," ")</f>
        <v>Sistema de Comando de Incidentes</v>
      </c>
      <c r="B31" s="98" t="str">
        <f>'Controle adm. dos cursos'!G30</f>
        <v>Turma I 2022</v>
      </c>
      <c r="C31" s="60">
        <f>'Resumo dos cursos'!N30</f>
        <v>98</v>
      </c>
      <c r="D31" s="60">
        <f>'Resumo dos cursos'!O30</f>
        <v>98</v>
      </c>
      <c r="E31" s="60">
        <f>'Resumo dos cursos'!P30</f>
        <v>60</v>
      </c>
      <c r="F31" s="57">
        <f t="shared" si="0"/>
        <v>61.224489795918366</v>
      </c>
      <c r="G31" s="60">
        <f>'Resumo dos cursos'!R30</f>
        <v>7</v>
      </c>
      <c r="H31" s="60">
        <f>'Resumo dos cursos'!S30</f>
        <v>2</v>
      </c>
      <c r="I31" s="60">
        <f>'Resumo dos cursos'!T30</f>
        <v>29</v>
      </c>
      <c r="J31" s="91">
        <f>'Resumo dos cursos'!U30</f>
        <v>0</v>
      </c>
    </row>
    <row r="32" spans="1:10" ht="23.25" customHeight="1" x14ac:dyDescent="0.25">
      <c r="A32" s="90" t="str">
        <f>IF('Controle adm. dos cursos'!H31=2022,'Controle adm. dos cursos'!D31," ")</f>
        <v>Sistema de Comando de Incidentes</v>
      </c>
      <c r="B32" s="98" t="str">
        <f>'Controle adm. dos cursos'!G31</f>
        <v>Turma AGRO-SET</v>
      </c>
      <c r="C32" s="60">
        <f>'Resumo dos cursos'!N31</f>
        <v>176</v>
      </c>
      <c r="D32" s="60">
        <f>'Resumo dos cursos'!O31</f>
        <v>176</v>
      </c>
      <c r="E32" s="60">
        <f>'Resumo dos cursos'!P31</f>
        <v>142</v>
      </c>
      <c r="F32" s="57">
        <f t="shared" si="0"/>
        <v>80.681818181818187</v>
      </c>
      <c r="G32" s="60">
        <f>'Resumo dos cursos'!R31</f>
        <v>3</v>
      </c>
      <c r="H32" s="60">
        <f>'Resumo dos cursos'!S31</f>
        <v>7</v>
      </c>
      <c r="I32" s="60">
        <f>'Resumo dos cursos'!T31</f>
        <v>24</v>
      </c>
      <c r="J32" s="91">
        <f>'Resumo dos cursos'!U31</f>
        <v>0</v>
      </c>
    </row>
    <row r="33" spans="1:10" ht="23.25" customHeight="1" x14ac:dyDescent="0.25">
      <c r="A33" s="90" t="str">
        <f>IF('Controle adm. dos cursos'!H32=2022,'Controle adm. dos cursos'!D32," ")</f>
        <v>Atendimento de Emergências em Edificações</v>
      </c>
      <c r="B33" s="98" t="str">
        <f>'Controle adm. dos cursos'!G32</f>
        <v>Turma QCG</v>
      </c>
      <c r="C33" s="60">
        <f>'Resumo dos cursos'!N32</f>
        <v>782</v>
      </c>
      <c r="D33" s="60">
        <f>'Resumo dos cursos'!O32</f>
        <v>782</v>
      </c>
      <c r="E33" s="60">
        <f>'Resumo dos cursos'!P32</f>
        <v>681</v>
      </c>
      <c r="F33" s="57">
        <f t="shared" si="0"/>
        <v>87.084398976982101</v>
      </c>
      <c r="G33" s="60">
        <f>'Resumo dos cursos'!R32</f>
        <v>24</v>
      </c>
      <c r="H33" s="60">
        <f>'Resumo dos cursos'!S32</f>
        <v>23</v>
      </c>
      <c r="I33" s="60">
        <f>'Resumo dos cursos'!T32</f>
        <v>54</v>
      </c>
      <c r="J33" s="91">
        <f>'Resumo dos cursos'!U32</f>
        <v>0</v>
      </c>
    </row>
    <row r="34" spans="1:10" ht="25.5" x14ac:dyDescent="0.25">
      <c r="A34" s="90" t="str">
        <f>IF('Controle adm. dos cursos'!H33=2022,'Controle adm. dos cursos'!D33," ")</f>
        <v>RISCOS E DESASTRES: conhecimentos fundamentais</v>
      </c>
      <c r="B34" s="98" t="str">
        <f>'Controle adm. dos cursos'!G33</f>
        <v>Turma II 2022</v>
      </c>
      <c r="C34" s="60">
        <f>'Resumo dos cursos'!N33</f>
        <v>46</v>
      </c>
      <c r="D34" s="60">
        <f>'Resumo dos cursos'!O33</f>
        <v>46</v>
      </c>
      <c r="E34" s="60">
        <f>'Resumo dos cursos'!P33</f>
        <v>7</v>
      </c>
      <c r="F34" s="57">
        <f t="shared" si="0"/>
        <v>15.217391304347826</v>
      </c>
      <c r="G34" s="60">
        <f>'Resumo dos cursos'!R33</f>
        <v>1</v>
      </c>
      <c r="H34" s="60">
        <f>'Resumo dos cursos'!S33</f>
        <v>1</v>
      </c>
      <c r="I34" s="60">
        <f>'Resumo dos cursos'!T33</f>
        <v>37</v>
      </c>
      <c r="J34" s="91">
        <f>'Resumo dos cursos'!U33</f>
        <v>0</v>
      </c>
    </row>
    <row r="35" spans="1:10" x14ac:dyDescent="0.25">
      <c r="A35" s="92" t="str">
        <f>IF('Controle adm. dos cursos'!H34=2022,'Controle adm. dos cursos'!D34," ")</f>
        <v>Sistema de Comando de Incidentes</v>
      </c>
      <c r="B35" s="109" t="str">
        <f>'Controle adm. dos cursos'!G34</f>
        <v>Turma AGRO-OUT</v>
      </c>
      <c r="C35" s="64">
        <f>'Resumo dos cursos'!N34</f>
        <v>164</v>
      </c>
      <c r="D35" s="64">
        <f>'Resumo dos cursos'!O34</f>
        <v>164</v>
      </c>
      <c r="E35" s="64">
        <f>'Resumo dos cursos'!P34</f>
        <v>150</v>
      </c>
      <c r="F35" s="101">
        <f t="shared" si="0"/>
        <v>91.463414634146346</v>
      </c>
      <c r="G35" s="64">
        <f>'Resumo dos cursos'!R34</f>
        <v>4</v>
      </c>
      <c r="H35" s="64">
        <f>'Resumo dos cursos'!S34</f>
        <v>3</v>
      </c>
      <c r="I35" s="64">
        <f>'Resumo dos cursos'!T34</f>
        <v>7</v>
      </c>
      <c r="J35" s="93">
        <f>'Resumo dos cursos'!U34</f>
        <v>0</v>
      </c>
    </row>
  </sheetData>
  <sheetProtection algorithmName="SHA-512" hashValue="yfYQ4WbW95B3dozVG3h2OrTk0VAIsLp8ORjj4NJDbbPjwmBpmh8+6brkk5g9Re1+yXAtCVM1JxqCNySg03VybQ==" saltValue="8LGWCRCkHSC+4ZikPEyvRQ==" spinCount="100000" sheet="1" objects="1" scenarios="1"/>
  <mergeCells count="3">
    <mergeCell ref="A1:J1"/>
    <mergeCell ref="B2:B3"/>
    <mergeCell ref="C2:J2"/>
  </mergeCells>
  <conditionalFormatting sqref="F5:F35">
    <cfRule type="cellIs" dxfId="23" priority="2" operator="equal">
      <formula>0</formula>
    </cfRule>
    <cfRule type="cellIs" dxfId="22" priority="3" operator="equal">
      <formula>0</formula>
    </cfRule>
  </conditionalFormatting>
  <pageMargins left="0.51180555555555596" right="0.51180555555555596" top="0.78749999999999998" bottom="0.78749999999999998" header="0.511811023622047" footer="0.31527777777777799"/>
  <pageSetup paperSize="9" orientation="landscape" horizontalDpi="300" verticalDpi="300"/>
  <headerFooter>
    <oddFooter>&amp;R&amp;P de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zoomScale="160" zoomScaleNormal="160" workbookViewId="0">
      <selection activeCell="J38" sqref="J38"/>
    </sheetView>
  </sheetViews>
  <sheetFormatPr defaultColWidth="9.140625" defaultRowHeight="14.25" x14ac:dyDescent="0.25"/>
  <cols>
    <col min="1" max="1" width="35.42578125" style="44" customWidth="1"/>
    <col min="2" max="2" width="11.85546875" style="15" customWidth="1"/>
    <col min="3" max="3" width="8.42578125" style="15" customWidth="1"/>
    <col min="4" max="4" width="12.5703125" style="15" customWidth="1"/>
    <col min="5" max="5" width="9.710937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270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customHeight="1" x14ac:dyDescent="0.25">
      <c r="A2" s="110"/>
      <c r="B2" s="164" t="s">
        <v>247</v>
      </c>
      <c r="C2" s="165" t="s">
        <v>248</v>
      </c>
      <c r="D2" s="165"/>
      <c r="E2" s="165"/>
      <c r="F2" s="165"/>
      <c r="G2" s="165"/>
      <c r="H2" s="165"/>
      <c r="I2" s="165"/>
      <c r="J2" s="165"/>
    </row>
    <row r="3" spans="1:10" ht="36" x14ac:dyDescent="0.25">
      <c r="A3" s="111"/>
      <c r="B3" s="164"/>
      <c r="C3" s="112" t="s">
        <v>229</v>
      </c>
      <c r="D3" s="112" t="s">
        <v>230</v>
      </c>
      <c r="E3" s="112" t="s">
        <v>231</v>
      </c>
      <c r="F3" s="113" t="s">
        <v>249</v>
      </c>
      <c r="G3" s="112" t="s">
        <v>233</v>
      </c>
      <c r="H3" s="112" t="s">
        <v>234</v>
      </c>
      <c r="I3" s="112" t="s">
        <v>235</v>
      </c>
      <c r="J3" s="114" t="s">
        <v>236</v>
      </c>
    </row>
    <row r="4" spans="1:10" ht="15.75" x14ac:dyDescent="0.25">
      <c r="A4" s="86" t="s">
        <v>250</v>
      </c>
      <c r="B4" s="50">
        <f>COUNTIF(Tabela3[Ano],"2023")</f>
        <v>19</v>
      </c>
      <c r="C4" s="51">
        <f>SUM(C5:C7)</f>
        <v>15462</v>
      </c>
      <c r="D4" s="51">
        <f>SUM(D5:D7)</f>
        <v>15462</v>
      </c>
      <c r="E4" s="51">
        <f>SUM(E5:E7)</f>
        <v>11877</v>
      </c>
      <c r="F4" s="52">
        <f t="shared" ref="F4:F35" si="0">IFERROR(((E4*100)/D4),0)</f>
        <v>76.81412495149398</v>
      </c>
      <c r="G4" s="51">
        <f>SUM(G5:G7)</f>
        <v>941</v>
      </c>
      <c r="H4" s="51">
        <f>SUM(H5:H7)</f>
        <v>832</v>
      </c>
      <c r="I4" s="51">
        <f>SUM(I5:I7)</f>
        <v>1811</v>
      </c>
      <c r="J4" s="53">
        <f>SUM(J5:J7)</f>
        <v>0</v>
      </c>
    </row>
    <row r="5" spans="1:10" x14ac:dyDescent="0.25">
      <c r="A5" s="88" t="s">
        <v>251</v>
      </c>
      <c r="B5" s="55">
        <f>COUNTIFS(Tabela3[Ano],"2023",Tabela3[Modalidade de Ensino],"Presencial")</f>
        <v>6</v>
      </c>
      <c r="C5" s="56">
        <f>SUMIFS(Tabela3[Inscritos],Tabela3[Ano],"2023",Tabela3[Modalidade de Ensino],"Presencial")</f>
        <v>71</v>
      </c>
      <c r="D5" s="56">
        <f>SUMIFS(Tabela3[Matriculados],Tabela3[Ano],"2023",Tabela3[Modalidade de Ensino],"Presencial")</f>
        <v>71</v>
      </c>
      <c r="E5" s="56">
        <f>SUMIFS(Tabela3[Aprovados],Tabela3[Ano],"2023",Tabela3[Modalidade de Ensino],"Presencial")</f>
        <v>71</v>
      </c>
      <c r="F5" s="96">
        <f t="shared" si="0"/>
        <v>100</v>
      </c>
      <c r="G5" s="56">
        <f>SUMIFS(Tabela3[Reprovados],Tabela3[Ano],"2023",Tabela3[Modalidade de Ensino],"Presencial")</f>
        <v>0</v>
      </c>
      <c r="H5" s="56">
        <f>SUMIFS(Tabela3[Desistentes],Tabela3[Ano],"2023",Tabela3[Modalidade de Ensino],"Presencial")</f>
        <v>0</v>
      </c>
      <c r="I5" s="56">
        <f>SUMIFS(Tabela3[Não responderam o 1º questionário],Tabela3[Ano],"2023",Tabela3[Modalidade de Ensino],"Presencial")</f>
        <v>0</v>
      </c>
      <c r="J5" s="58">
        <f>SUMIFS(Tabela3[Nunca acessaram o curso],Tabela3[Ano],"2023",Tabela3[Modalidade de Ensino],"Presencial")</f>
        <v>0</v>
      </c>
    </row>
    <row r="6" spans="1:10" x14ac:dyDescent="0.25">
      <c r="A6" s="90" t="s">
        <v>252</v>
      </c>
      <c r="B6" s="60">
        <f>COUNTIFS(Tabela3[Ano],"2023",Tabela3[Modalidade de Ensino],"A Distância (EaD)")</f>
        <v>10</v>
      </c>
      <c r="C6" s="61">
        <f>SUMIFS(Tabela3[Inscritos],Tabela3[Ano],"2023",Tabela3[Modalidade de Ensino],"A Distância (EaD)")</f>
        <v>14794</v>
      </c>
      <c r="D6" s="61">
        <f>SUMIFS(Tabela3[Matriculados],Tabela3[Ano],"2023",Tabela3[Modalidade de Ensino],"A Distância (EaD)")</f>
        <v>14794</v>
      </c>
      <c r="E6" s="61">
        <f>SUMIFS(Tabela3[Aprovados],Tabela3[Ano],"2023",Tabela3[Modalidade de Ensino],"A Distância (EaD)")</f>
        <v>11531</v>
      </c>
      <c r="F6" s="57">
        <f t="shared" si="0"/>
        <v>77.943760984182774</v>
      </c>
      <c r="G6" s="61">
        <f>SUMIFS(Tabela3[Reprovados],Tabela3[Ano],"2023",Tabela3[Modalidade de Ensino],"A Distância (EaD)")</f>
        <v>900</v>
      </c>
      <c r="H6" s="61">
        <f>SUMIFS(Tabela3[Desistentes],Tabela3[Ano],"2023",Tabela3[Modalidade de Ensino],"A Distância (EaD)")</f>
        <v>682</v>
      </c>
      <c r="I6" s="61">
        <f>SUMIFS(Tabela3[Não responderam o 1º questionário],Tabela3[Ano],"2023",Tabela3[Modalidade de Ensino],"A Distância (EaD)")</f>
        <v>1681</v>
      </c>
      <c r="J6" s="62">
        <f>SUMIFS(Tabela3[Nunca acessaram o curso],Tabela3[Ano],"2023",Tabela3[Modalidade de Ensino],"A Distância (EaD)")</f>
        <v>0</v>
      </c>
    </row>
    <row r="7" spans="1:10" ht="15.75" customHeight="1" thickBot="1" x14ac:dyDescent="0.3">
      <c r="A7" s="92" t="s">
        <v>253</v>
      </c>
      <c r="B7" s="64">
        <f>COUNTIFS(Tabela3[Ano],"2023",Tabela3[Modalidade de Ensino],"Semipresencial")</f>
        <v>3</v>
      </c>
      <c r="C7" s="65">
        <f>SUMIFS(Tabela3[Inscritos],Tabela3[Ano],"2023",Tabela3[Modalidade de Ensino],"Semipresencial")</f>
        <v>597</v>
      </c>
      <c r="D7" s="65">
        <f>SUMIFS(Tabela3[Matriculados],Tabela3[Ano],"2023",Tabela3[Modalidade de Ensino],"Semipresencial")</f>
        <v>597</v>
      </c>
      <c r="E7" s="65">
        <f>SUMIFS(Tabela3[Aprovados],Tabela3[Ano],"2023",Tabela3[Modalidade de Ensino],"Semipresencial")</f>
        <v>275</v>
      </c>
      <c r="F7" s="101">
        <f t="shared" si="0"/>
        <v>46.063651591289783</v>
      </c>
      <c r="G7" s="65">
        <f>SUMIFS(Tabela3[Reprovados],Tabela3[Ano],"2023",Tabela3[Modalidade de Ensino],"Semipresencial")</f>
        <v>41</v>
      </c>
      <c r="H7" s="65">
        <f>SUMIFS(Tabela3[Desistentes],Tabela3[Ano],"2023",Tabela3[Modalidade de Ensino],"Semipresencial")</f>
        <v>150</v>
      </c>
      <c r="I7" s="65">
        <f>SUMIFS(Tabela3[Não responderam o 1º questionário],Tabela3[Ano],"2023",Tabela3[Modalidade de Ensino],"Semipresencial")</f>
        <v>130</v>
      </c>
      <c r="J7" s="67">
        <f>SUMIFS(Tabela3[Nunca acessaram o curso],Tabela3[Ano],"2023",Tabela3[Modalidade de Ensino],"Semipresencial")</f>
        <v>0</v>
      </c>
    </row>
    <row r="8" spans="1:10" ht="25.5" hidden="1" customHeight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38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14.25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t="14.25" hidden="1" customHeight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14.25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5.5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hidden="1" customHeight="1" x14ac:dyDescent="0.25">
      <c r="A14" s="90" t="str">
        <f>IF('Controle adm. dos cursos'!H9=2019,'Controle adm. dos cursos'!D9," ")</f>
        <v>Atendimento de Emergências em Edificações</v>
      </c>
      <c r="B14" s="60"/>
      <c r="C14" s="60">
        <f>'Resumo dos cursos'!N9</f>
        <v>277</v>
      </c>
      <c r="D14" s="60">
        <f>'Resumo dos cursos'!O9</f>
        <v>277</v>
      </c>
      <c r="E14" s="60">
        <f>'Resumo dos cursos'!P9</f>
        <v>190</v>
      </c>
      <c r="F14" s="57">
        <f t="shared" si="0"/>
        <v>68.592057761732846</v>
      </c>
      <c r="G14" s="60">
        <f>'Resumo dos cursos'!R9</f>
        <v>7</v>
      </c>
      <c r="H14" s="60">
        <f>'Resumo dos cursos'!S9</f>
        <v>8</v>
      </c>
      <c r="I14" s="60">
        <f>'Resumo dos cursos'!T9</f>
        <v>11</v>
      </c>
      <c r="J14" s="91">
        <f>'Resumo dos cursos'!U9</f>
        <v>61</v>
      </c>
    </row>
    <row r="15" spans="1:10" ht="38.25" hidden="1" x14ac:dyDescent="0.25">
      <c r="A15" s="90" t="str">
        <f>IF('Controle adm. dos cursos'!H14=2021,'Controle adm. dos cursos'!D14," ")</f>
        <v>Conhecimentos Básicos para Integrantes da Rede Estadual de Emergência de Radioamadores</v>
      </c>
      <c r="B15" s="98" t="str">
        <f>'Controle adm. dos cursos'!G14</f>
        <v>Turma 2021</v>
      </c>
      <c r="C15" s="60">
        <f>'Resumo dos cursos'!N14</f>
        <v>126</v>
      </c>
      <c r="D15" s="60">
        <f>'Resumo dos cursos'!O14</f>
        <v>126</v>
      </c>
      <c r="E15" s="60">
        <f>'Resumo dos cursos'!P14</f>
        <v>87</v>
      </c>
      <c r="F15" s="57">
        <f t="shared" si="0"/>
        <v>69.047619047619051</v>
      </c>
      <c r="G15" s="60">
        <f>'Resumo dos cursos'!R14</f>
        <v>4</v>
      </c>
      <c r="H15" s="60">
        <f>'Resumo dos cursos'!S14</f>
        <v>4</v>
      </c>
      <c r="I15" s="60">
        <f>'Resumo dos cursos'!T14</f>
        <v>9</v>
      </c>
      <c r="J15" s="91">
        <f>'Resumo dos cursos'!U14</f>
        <v>22</v>
      </c>
    </row>
    <row r="16" spans="1:10" ht="38.25" hidden="1" x14ac:dyDescent="0.25">
      <c r="A16" s="90" t="str">
        <f>IF('Controle adm. dos cursos'!H15=2021,'Controle adm. dos cursos'!D15," ")</f>
        <v>Conhecimentos Fundamentais para Gestores Municipais de Proteção e Defesa Civil</v>
      </c>
      <c r="B16" s="98" t="str">
        <f>'Controle adm. dos cursos'!G15</f>
        <v>Turma I 2021</v>
      </c>
      <c r="C16" s="60">
        <f>'Resumo dos cursos'!N15</f>
        <v>176</v>
      </c>
      <c r="D16" s="60">
        <f>'Resumo dos cursos'!O15</f>
        <v>176</v>
      </c>
      <c r="E16" s="60">
        <f>'Resumo dos cursos'!P15</f>
        <v>106</v>
      </c>
      <c r="F16" s="57">
        <f t="shared" si="0"/>
        <v>60.227272727272727</v>
      </c>
      <c r="G16" s="60">
        <f>'Resumo dos cursos'!R15</f>
        <v>1</v>
      </c>
      <c r="H16" s="60">
        <f>'Resumo dos cursos'!S15</f>
        <v>69</v>
      </c>
      <c r="I16" s="60">
        <f>'Resumo dos cursos'!T15</f>
        <v>0</v>
      </c>
      <c r="J16" s="91">
        <f>'Resumo dos cursos'!U15</f>
        <v>0</v>
      </c>
    </row>
    <row r="17" spans="1:10" hidden="1" x14ac:dyDescent="0.25">
      <c r="A17" s="90" t="str">
        <f>IF('Controle adm. dos cursos'!H16=2021,'Controle adm. dos cursos'!D16," ")</f>
        <v>Sistema de Comando de Incidentes</v>
      </c>
      <c r="B17" s="98" t="str">
        <f>'Controle adm. dos cursos'!G16</f>
        <v>Turma 5ª Divisão de Exército</v>
      </c>
      <c r="C17" s="60">
        <f>'Resumo dos cursos'!N16</f>
        <v>28</v>
      </c>
      <c r="D17" s="60">
        <f>'Resumo dos cursos'!O16</f>
        <v>28</v>
      </c>
      <c r="E17" s="60">
        <f>'Resumo dos cursos'!P16</f>
        <v>27</v>
      </c>
      <c r="F17" s="57">
        <f t="shared" si="0"/>
        <v>96.428571428571431</v>
      </c>
      <c r="G17" s="60">
        <f>'Resumo dos cursos'!R16</f>
        <v>1</v>
      </c>
      <c r="H17" s="60">
        <f>'Resumo dos cursos'!S16</f>
        <v>0</v>
      </c>
      <c r="I17" s="60">
        <f>'Resumo dos cursos'!T16</f>
        <v>0</v>
      </c>
      <c r="J17" s="91">
        <f>'Resumo dos cursos'!U16</f>
        <v>0</v>
      </c>
    </row>
    <row r="18" spans="1:10" ht="38.25" hidden="1" x14ac:dyDescent="0.25">
      <c r="A18" s="90" t="str">
        <f>IF('Controle adm. dos cursos'!H17=2021,'Controle adm. dos cursos'!D17," ")</f>
        <v>Conhecimentos Básicos para Integrantes da Rede Estadual de Emergência de Radioamadores</v>
      </c>
      <c r="B18" s="98" t="str">
        <f>'Controle adm. dos cursos'!G17</f>
        <v>Turma II 2021</v>
      </c>
      <c r="C18" s="60">
        <f>'Resumo dos cursos'!N17</f>
        <v>40</v>
      </c>
      <c r="D18" s="60">
        <f>'Resumo dos cursos'!O17</f>
        <v>40</v>
      </c>
      <c r="E18" s="60">
        <f>'Resumo dos cursos'!P17</f>
        <v>12</v>
      </c>
      <c r="F18" s="57">
        <f t="shared" si="0"/>
        <v>30</v>
      </c>
      <c r="G18" s="60">
        <f>'Resumo dos cursos'!R17</f>
        <v>4</v>
      </c>
      <c r="H18" s="60">
        <f>'Resumo dos cursos'!S17</f>
        <v>2</v>
      </c>
      <c r="I18" s="60">
        <f>'Resumo dos cursos'!T17</f>
        <v>0</v>
      </c>
      <c r="J18" s="91">
        <f>'Resumo dos cursos'!U17</f>
        <v>22</v>
      </c>
    </row>
    <row r="19" spans="1:10" ht="38.25" hidden="1" x14ac:dyDescent="0.25">
      <c r="A19" s="90" t="str">
        <f>IF('Controle adm. dos cursos'!H18=2021,'Controle adm. dos cursos'!D18," ")</f>
        <v>Conhecimentos Fundamentais para Gestores Municipais de Proteção e Defesa Civil</v>
      </c>
      <c r="B19" s="98" t="str">
        <f>'Controle adm. dos cursos'!G18</f>
        <v>Turma II 2021</v>
      </c>
      <c r="C19" s="60">
        <f>'Resumo dos cursos'!N18</f>
        <v>34</v>
      </c>
      <c r="D19" s="60">
        <f>'Resumo dos cursos'!O18</f>
        <v>34</v>
      </c>
      <c r="E19" s="60">
        <f>'Resumo dos cursos'!P18</f>
        <v>22</v>
      </c>
      <c r="F19" s="57">
        <f t="shared" si="0"/>
        <v>64.705882352941174</v>
      </c>
      <c r="G19" s="60">
        <f>'Resumo dos cursos'!R18</f>
        <v>1</v>
      </c>
      <c r="H19" s="60">
        <f>'Resumo dos cursos'!S18</f>
        <v>0</v>
      </c>
      <c r="I19" s="60">
        <f>'Resumo dos cursos'!T18</f>
        <v>11</v>
      </c>
      <c r="J19" s="91">
        <f>'Resumo dos cursos'!U18</f>
        <v>0</v>
      </c>
    </row>
    <row r="20" spans="1:10" hidden="1" x14ac:dyDescent="0.25">
      <c r="A20" s="99" t="str">
        <f>IF('Controle adm. dos cursos'!H19=2021,'Controle adm. dos cursos'!D19," ")</f>
        <v>Sistema de Comando de Incidentes</v>
      </c>
      <c r="B20" s="115" t="str">
        <f>'Controle adm. dos cursos'!G19</f>
        <v>Turma COSMO  2021</v>
      </c>
      <c r="C20" s="103">
        <f>'Resumo dos cursos'!N19</f>
        <v>48</v>
      </c>
      <c r="D20" s="103">
        <f>'Resumo dos cursos'!O19</f>
        <v>48</v>
      </c>
      <c r="E20" s="103">
        <f>'Resumo dos cursos'!P19</f>
        <v>26</v>
      </c>
      <c r="F20" s="104">
        <f t="shared" si="0"/>
        <v>54.166666666666664</v>
      </c>
      <c r="G20" s="103">
        <f>'Resumo dos cursos'!R19</f>
        <v>5</v>
      </c>
      <c r="H20" s="103">
        <f>'Resumo dos cursos'!S19</f>
        <v>5</v>
      </c>
      <c r="I20" s="103">
        <f>'Resumo dos cursos'!T19</f>
        <v>12</v>
      </c>
      <c r="J20" s="105">
        <f>'Resumo dos cursos'!U19</f>
        <v>0</v>
      </c>
    </row>
    <row r="21" spans="1:10" ht="25.5" hidden="1" x14ac:dyDescent="0.25">
      <c r="A21" s="88" t="str">
        <f>IF('Controle adm. dos cursos'!H20=2022,'Controle adm. dos cursos'!D20," ")</f>
        <v>Atendimento a Emergências com Produtos Perigosos</v>
      </c>
      <c r="B21" s="116" t="str">
        <f>'Controle adm. dos cursos'!G20</f>
        <v>Turma I 2022</v>
      </c>
      <c r="C21" s="55">
        <f>'Resumo dos cursos'!N20</f>
        <v>54</v>
      </c>
      <c r="D21" s="55">
        <f>'Resumo dos cursos'!O20</f>
        <v>54</v>
      </c>
      <c r="E21" s="55">
        <f>'Resumo dos cursos'!P20</f>
        <v>33</v>
      </c>
      <c r="F21" s="106">
        <f t="shared" si="0"/>
        <v>61.111111111111114</v>
      </c>
      <c r="G21" s="55">
        <f>'Resumo dos cursos'!R20</f>
        <v>0</v>
      </c>
      <c r="H21" s="55">
        <f>'Resumo dos cursos'!S20</f>
        <v>8</v>
      </c>
      <c r="I21" s="55">
        <f>'Resumo dos cursos'!T20</f>
        <v>13</v>
      </c>
      <c r="J21" s="89">
        <f>'Resumo dos cursos'!U20</f>
        <v>0</v>
      </c>
    </row>
    <row r="22" spans="1:10" ht="14.25" hidden="1" customHeight="1" x14ac:dyDescent="0.25">
      <c r="A22" s="90" t="str">
        <f>IF('Controle adm. dos cursos'!H21=2022,'Controle adm. dos cursos'!D21," ")</f>
        <v>Sistema de Comando de Incidentes</v>
      </c>
      <c r="B22" s="98" t="str">
        <f>'Controle adm. dos cursos'!G21</f>
        <v>Turma: IMUV</v>
      </c>
      <c r="C22" s="60">
        <f>'Resumo dos cursos'!N21</f>
        <v>297</v>
      </c>
      <c r="D22" s="60">
        <f>'Resumo dos cursos'!O21</f>
        <v>297</v>
      </c>
      <c r="E22" s="60">
        <f>'Resumo dos cursos'!P21</f>
        <v>57</v>
      </c>
      <c r="F22" s="57">
        <f t="shared" si="0"/>
        <v>19.19191919191919</v>
      </c>
      <c r="G22" s="60">
        <f>'Resumo dos cursos'!R21</f>
        <v>8</v>
      </c>
      <c r="H22" s="60">
        <f>'Resumo dos cursos'!S21</f>
        <v>6</v>
      </c>
      <c r="I22" s="60">
        <f>'Resumo dos cursos'!T21</f>
        <v>26</v>
      </c>
      <c r="J22" s="91">
        <f>'Resumo dos cursos'!U21</f>
        <v>200</v>
      </c>
    </row>
    <row r="23" spans="1:10" ht="25.5" hidden="1" customHeight="1" x14ac:dyDescent="0.25">
      <c r="A23" s="90" t="str">
        <f>IF('Controle adm. dos cursos'!H22=2022,'Controle adm. dos cursos'!D22," ")</f>
        <v>Curso de Prevenção e Combate a Incêndios Florestais</v>
      </c>
      <c r="B23" s="98" t="str">
        <f>'Controle adm. dos cursos'!G22</f>
        <v>TURMA Vila Velha</v>
      </c>
      <c r="C23" s="60">
        <f>'Resumo dos cursos'!N22</f>
        <v>36</v>
      </c>
      <c r="D23" s="60">
        <f>'Resumo dos cursos'!O22</f>
        <v>36</v>
      </c>
      <c r="E23" s="60">
        <f>'Resumo dos cursos'!P22</f>
        <v>36</v>
      </c>
      <c r="F23" s="57">
        <f t="shared" si="0"/>
        <v>100</v>
      </c>
      <c r="G23" s="60">
        <f>'Resumo dos cursos'!R22</f>
        <v>0</v>
      </c>
      <c r="H23" s="60">
        <f>'Resumo dos cursos'!S22</f>
        <v>0</v>
      </c>
      <c r="I23" s="60">
        <f>'Resumo dos cursos'!T22</f>
        <v>0</v>
      </c>
      <c r="J23" s="91">
        <f>'Resumo dos cursos'!U22</f>
        <v>0</v>
      </c>
    </row>
    <row r="24" spans="1:10" hidden="1" x14ac:dyDescent="0.25">
      <c r="A24" s="90" t="str">
        <f>IF('Controle adm. dos cursos'!H23=2022,'Controle adm. dos cursos'!D23," ")</f>
        <v>Sistema de Comando de Incidentes</v>
      </c>
      <c r="B24" s="98" t="str">
        <f>'Controle adm. dos cursos'!G23</f>
        <v>Turma I Orgãos de Apoio CEDEC</v>
      </c>
      <c r="C24" s="60">
        <f>'Resumo dos cursos'!N23</f>
        <v>185</v>
      </c>
      <c r="D24" s="60">
        <f>'Resumo dos cursos'!O23</f>
        <v>185</v>
      </c>
      <c r="E24" s="60">
        <f>'Resumo dos cursos'!P23</f>
        <v>120</v>
      </c>
      <c r="F24" s="57">
        <f t="shared" si="0"/>
        <v>64.86486486486487</v>
      </c>
      <c r="G24" s="60">
        <f>'Resumo dos cursos'!R23</f>
        <v>12</v>
      </c>
      <c r="H24" s="60">
        <f>'Resumo dos cursos'!S23</f>
        <v>10</v>
      </c>
      <c r="I24" s="60">
        <f>'Resumo dos cursos'!T23</f>
        <v>43</v>
      </c>
      <c r="J24" s="91">
        <f>'Resumo dos cursos'!U23</f>
        <v>0</v>
      </c>
    </row>
    <row r="25" spans="1:10" ht="38.25" hidden="1" x14ac:dyDescent="0.25">
      <c r="A25" s="90" t="str">
        <f>IF('Controle adm. dos cursos'!H24=2022,'Controle adm. dos cursos'!D24," ")</f>
        <v>Conhecimentos Fundamentais para Gestores Municipais de Proteção e Defesa Civil</v>
      </c>
      <c r="B25" s="98" t="str">
        <f>'Controle adm. dos cursos'!G24</f>
        <v>Turma I 2022</v>
      </c>
      <c r="C25" s="60">
        <f>'Resumo dos cursos'!N24</f>
        <v>40</v>
      </c>
      <c r="D25" s="60">
        <f>'Resumo dos cursos'!O24</f>
        <v>40</v>
      </c>
      <c r="E25" s="60">
        <f>'Resumo dos cursos'!P24</f>
        <v>24</v>
      </c>
      <c r="F25" s="57">
        <f t="shared" si="0"/>
        <v>60</v>
      </c>
      <c r="G25" s="60">
        <f>'Resumo dos cursos'!R24</f>
        <v>2</v>
      </c>
      <c r="H25" s="60">
        <f>'Resumo dos cursos'!S24</f>
        <v>0</v>
      </c>
      <c r="I25" s="60">
        <f>'Resumo dos cursos'!T24</f>
        <v>14</v>
      </c>
      <c r="J25" s="91">
        <f>'Resumo dos cursos'!U24</f>
        <v>0</v>
      </c>
    </row>
    <row r="26" spans="1:10" ht="14.25" hidden="1" customHeight="1" x14ac:dyDescent="0.25">
      <c r="A26" s="90" t="str">
        <f>IF('Controle adm. dos cursos'!H25=2022,'Controle adm. dos cursos'!D25," ")</f>
        <v>Sistema de Comando de Incidentes</v>
      </c>
      <c r="B26" s="98" t="str">
        <f>'Controle adm. dos cursos'!G25</f>
        <v>Turma MT</v>
      </c>
      <c r="C26" s="60">
        <f>'Resumo dos cursos'!N25</f>
        <v>177</v>
      </c>
      <c r="D26" s="60">
        <f>'Resumo dos cursos'!O25</f>
        <v>177</v>
      </c>
      <c r="E26" s="60">
        <f>'Resumo dos cursos'!P25</f>
        <v>155</v>
      </c>
      <c r="F26" s="57">
        <f t="shared" si="0"/>
        <v>87.570621468926561</v>
      </c>
      <c r="G26" s="60">
        <f>'Resumo dos cursos'!R25</f>
        <v>4</v>
      </c>
      <c r="H26" s="60">
        <f>'Resumo dos cursos'!S25</f>
        <v>2</v>
      </c>
      <c r="I26" s="60">
        <f>'Resumo dos cursos'!T25</f>
        <v>15</v>
      </c>
      <c r="J26" s="91">
        <f>'Resumo dos cursos'!U25</f>
        <v>1</v>
      </c>
    </row>
    <row r="27" spans="1:10" ht="25.5" hidden="1" x14ac:dyDescent="0.25">
      <c r="A27" s="90" t="str">
        <f>IF('Controle adm. dos cursos'!H26=2022,'Controle adm. dos cursos'!D26," ")</f>
        <v>RISCOS E DESASTRES: conhecimentos fundamentais</v>
      </c>
      <c r="B27" s="98" t="str">
        <f>'Controle adm. dos cursos'!G26</f>
        <v>Turma I 2022</v>
      </c>
      <c r="C27" s="60">
        <f>'Resumo dos cursos'!N26</f>
        <v>86</v>
      </c>
      <c r="D27" s="60">
        <f>'Resumo dos cursos'!O26</f>
        <v>86</v>
      </c>
      <c r="E27" s="60">
        <f>'Resumo dos cursos'!P26</f>
        <v>55</v>
      </c>
      <c r="F27" s="57">
        <f t="shared" si="0"/>
        <v>63.953488372093027</v>
      </c>
      <c r="G27" s="60">
        <f>'Resumo dos cursos'!R26</f>
        <v>5</v>
      </c>
      <c r="H27" s="60">
        <f>'Resumo dos cursos'!S26</f>
        <v>8</v>
      </c>
      <c r="I27" s="60">
        <f>'Resumo dos cursos'!T26</f>
        <v>16</v>
      </c>
      <c r="J27" s="91">
        <f>'Resumo dos cursos'!U26</f>
        <v>2</v>
      </c>
    </row>
    <row r="28" spans="1:10" ht="38.25" hidden="1" x14ac:dyDescent="0.25">
      <c r="A28" s="90" t="str">
        <f>IF('Controle adm. dos cursos'!H27=2022,'Controle adm. dos cursos'!D27," ")</f>
        <v>Conhecimentos Fundamentais para Gestores Municipais de Proteção e Defesa Civil</v>
      </c>
      <c r="B28" s="98" t="str">
        <f>'Controle adm. dos cursos'!G27</f>
        <v>Turma II 2022</v>
      </c>
      <c r="C28" s="60">
        <f>'Resumo dos cursos'!N27</f>
        <v>30</v>
      </c>
      <c r="D28" s="60">
        <f>'Resumo dos cursos'!O27</f>
        <v>30</v>
      </c>
      <c r="E28" s="60">
        <f>'Resumo dos cursos'!P27</f>
        <v>22</v>
      </c>
      <c r="F28" s="57">
        <f t="shared" si="0"/>
        <v>73.333333333333329</v>
      </c>
      <c r="G28" s="60">
        <f>'Resumo dos cursos'!R27</f>
        <v>1</v>
      </c>
      <c r="H28" s="60">
        <f>'Resumo dos cursos'!S27</f>
        <v>0</v>
      </c>
      <c r="I28" s="60">
        <f>'Resumo dos cursos'!T27</f>
        <v>7</v>
      </c>
      <c r="J28" s="91">
        <f>'Resumo dos cursos'!U27</f>
        <v>0</v>
      </c>
    </row>
    <row r="29" spans="1:10" ht="25.5" hidden="1" x14ac:dyDescent="0.25">
      <c r="A29" s="90" t="str">
        <f>IF('Controle adm. dos cursos'!H28=2022,'Controle adm. dos cursos'!D28," ")</f>
        <v>Curso de Prevenção e Combate a Incêndios Florestais</v>
      </c>
      <c r="B29" s="98" t="str">
        <f>'Controle adm. dos cursos'!G28</f>
        <v>TURMA Floresta Metropolitana</v>
      </c>
      <c r="C29" s="60">
        <f>'Resumo dos cursos'!N28</f>
        <v>32</v>
      </c>
      <c r="D29" s="60">
        <f>'Resumo dos cursos'!O28</f>
        <v>32</v>
      </c>
      <c r="E29" s="60">
        <f>'Resumo dos cursos'!P28</f>
        <v>32</v>
      </c>
      <c r="F29" s="57">
        <f t="shared" si="0"/>
        <v>100</v>
      </c>
      <c r="G29" s="60">
        <f>'Resumo dos cursos'!R28</f>
        <v>0</v>
      </c>
      <c r="H29" s="60">
        <f>'Resumo dos cursos'!S28</f>
        <v>0</v>
      </c>
      <c r="I29" s="60">
        <f>'Resumo dos cursos'!T28</f>
        <v>0</v>
      </c>
      <c r="J29" s="91">
        <f>'Resumo dos cursos'!U28</f>
        <v>0</v>
      </c>
    </row>
    <row r="30" spans="1:10" ht="38.25" hidden="1" x14ac:dyDescent="0.25">
      <c r="A30" s="90" t="str">
        <f>IF('Controle adm. dos cursos'!H29=2022,'Controle adm. dos cursos'!D29," ")</f>
        <v>Conhecimentos Básicos para Integrantes da Rede Estadual de Emergência de Radioamadores</v>
      </c>
      <c r="B30" s="98" t="str">
        <f>'Controle adm. dos cursos'!G29</f>
        <v>Turma I 2022</v>
      </c>
      <c r="C30" s="60">
        <f>'Resumo dos cursos'!N29</f>
        <v>22</v>
      </c>
      <c r="D30" s="60">
        <f>'Resumo dos cursos'!O29</f>
        <v>22</v>
      </c>
      <c r="E30" s="60">
        <f>'Resumo dos cursos'!P29</f>
        <v>18</v>
      </c>
      <c r="F30" s="57">
        <f t="shared" si="0"/>
        <v>81.818181818181813</v>
      </c>
      <c r="G30" s="60">
        <f>'Resumo dos cursos'!R29</f>
        <v>2</v>
      </c>
      <c r="H30" s="60">
        <f>'Resumo dos cursos'!S29</f>
        <v>0</v>
      </c>
      <c r="I30" s="60">
        <f>'Resumo dos cursos'!T29</f>
        <v>2</v>
      </c>
      <c r="J30" s="91">
        <f>'Resumo dos cursos'!U29</f>
        <v>0</v>
      </c>
    </row>
    <row r="31" spans="1:10" ht="14.25" hidden="1" customHeight="1" x14ac:dyDescent="0.25">
      <c r="A31" s="90" t="str">
        <f>IF('Controle adm. dos cursos'!H30=2022,'Controle adm. dos cursos'!D30," ")</f>
        <v>Sistema de Comando de Incidentes</v>
      </c>
      <c r="B31" s="98" t="str">
        <f>'Controle adm. dos cursos'!G30</f>
        <v>Turma I 2022</v>
      </c>
      <c r="C31" s="60">
        <f>'Resumo dos cursos'!N30</f>
        <v>98</v>
      </c>
      <c r="D31" s="60">
        <f>'Resumo dos cursos'!O30</f>
        <v>98</v>
      </c>
      <c r="E31" s="60">
        <f>'Resumo dos cursos'!P30</f>
        <v>60</v>
      </c>
      <c r="F31" s="57">
        <f t="shared" si="0"/>
        <v>61.224489795918366</v>
      </c>
      <c r="G31" s="60">
        <f>'Resumo dos cursos'!R30</f>
        <v>7</v>
      </c>
      <c r="H31" s="60">
        <f>'Resumo dos cursos'!S30</f>
        <v>2</v>
      </c>
      <c r="I31" s="60">
        <f>'Resumo dos cursos'!T30</f>
        <v>29</v>
      </c>
      <c r="J31" s="91">
        <f>'Resumo dos cursos'!U30</f>
        <v>0</v>
      </c>
    </row>
    <row r="32" spans="1:10" ht="22.5" hidden="1" customHeight="1" x14ac:dyDescent="0.25">
      <c r="A32" s="90" t="str">
        <f>IF('Controle adm. dos cursos'!H31=2022,'Controle adm. dos cursos'!D31," ")</f>
        <v>Sistema de Comando de Incidentes</v>
      </c>
      <c r="B32" s="98" t="str">
        <f>'Controle adm. dos cursos'!G31</f>
        <v>Turma AGRO-SET</v>
      </c>
      <c r="C32" s="60">
        <f>'Resumo dos cursos'!N31</f>
        <v>176</v>
      </c>
      <c r="D32" s="60">
        <f>'Resumo dos cursos'!O31</f>
        <v>176</v>
      </c>
      <c r="E32" s="60">
        <f>'Resumo dos cursos'!P31</f>
        <v>142</v>
      </c>
      <c r="F32" s="57">
        <f t="shared" si="0"/>
        <v>80.681818181818187</v>
      </c>
      <c r="G32" s="60">
        <f>'Resumo dos cursos'!R31</f>
        <v>3</v>
      </c>
      <c r="H32" s="60">
        <f>'Resumo dos cursos'!S31</f>
        <v>7</v>
      </c>
      <c r="I32" s="60">
        <f>'Resumo dos cursos'!T31</f>
        <v>24</v>
      </c>
      <c r="J32" s="91">
        <f>'Resumo dos cursos'!U31</f>
        <v>0</v>
      </c>
    </row>
    <row r="33" spans="1:10" ht="25.5" hidden="1" customHeight="1" x14ac:dyDescent="0.25">
      <c r="A33" s="90" t="str">
        <f>IF('Controle adm. dos cursos'!H32=2022,'Controle adm. dos cursos'!D32," ")</f>
        <v>Atendimento de Emergências em Edificações</v>
      </c>
      <c r="B33" s="98" t="str">
        <f>'Controle adm. dos cursos'!G32</f>
        <v>Turma QCG</v>
      </c>
      <c r="C33" s="60">
        <f>'Resumo dos cursos'!N32</f>
        <v>782</v>
      </c>
      <c r="D33" s="60">
        <f>'Resumo dos cursos'!O32</f>
        <v>782</v>
      </c>
      <c r="E33" s="60">
        <f>'Resumo dos cursos'!P32</f>
        <v>681</v>
      </c>
      <c r="F33" s="57">
        <f t="shared" si="0"/>
        <v>87.084398976982101</v>
      </c>
      <c r="G33" s="60">
        <f>'Resumo dos cursos'!R32</f>
        <v>24</v>
      </c>
      <c r="H33" s="60">
        <f>'Resumo dos cursos'!S32</f>
        <v>23</v>
      </c>
      <c r="I33" s="60">
        <f>'Resumo dos cursos'!T32</f>
        <v>54</v>
      </c>
      <c r="J33" s="91">
        <f>'Resumo dos cursos'!U32</f>
        <v>0</v>
      </c>
    </row>
    <row r="34" spans="1:10" ht="25.5" hidden="1" x14ac:dyDescent="0.25">
      <c r="A34" s="90" t="str">
        <f>IF('Controle adm. dos cursos'!H33=2022,'Controle adm. dos cursos'!D33," ")</f>
        <v>RISCOS E DESASTRES: conhecimentos fundamentais</v>
      </c>
      <c r="B34" s="98" t="str">
        <f>'Controle adm. dos cursos'!G33</f>
        <v>Turma II 2022</v>
      </c>
      <c r="C34" s="60">
        <f>'Resumo dos cursos'!N33</f>
        <v>46</v>
      </c>
      <c r="D34" s="60">
        <f>'Resumo dos cursos'!O33</f>
        <v>46</v>
      </c>
      <c r="E34" s="60">
        <f>'Resumo dos cursos'!P33</f>
        <v>7</v>
      </c>
      <c r="F34" s="57">
        <f t="shared" si="0"/>
        <v>15.217391304347826</v>
      </c>
      <c r="G34" s="60">
        <f>'Resumo dos cursos'!R33</f>
        <v>1</v>
      </c>
      <c r="H34" s="60">
        <f>'Resumo dos cursos'!S33</f>
        <v>1</v>
      </c>
      <c r="I34" s="60">
        <f>'Resumo dos cursos'!T33</f>
        <v>37</v>
      </c>
      <c r="J34" s="91">
        <f>'Resumo dos cursos'!U33</f>
        <v>0</v>
      </c>
    </row>
    <row r="35" spans="1:10" hidden="1" x14ac:dyDescent="0.25">
      <c r="A35" s="90" t="str">
        <f>IF('Controle adm. dos cursos'!H34=2022,'Controle adm. dos cursos'!D34," ")</f>
        <v>Sistema de Comando de Incidentes</v>
      </c>
      <c r="B35" s="98" t="str">
        <f>'Controle adm. dos cursos'!G34</f>
        <v>Turma AGRO-OUT</v>
      </c>
      <c r="C35" s="60">
        <f>'Resumo dos cursos'!N34</f>
        <v>164</v>
      </c>
      <c r="D35" s="60">
        <f>'Resumo dos cursos'!O34</f>
        <v>164</v>
      </c>
      <c r="E35" s="60">
        <f>'Resumo dos cursos'!P34</f>
        <v>150</v>
      </c>
      <c r="F35" s="57">
        <f t="shared" si="0"/>
        <v>91.463414634146346</v>
      </c>
      <c r="G35" s="60">
        <f>'Resumo dos cursos'!R34</f>
        <v>4</v>
      </c>
      <c r="H35" s="60">
        <f>'Resumo dos cursos'!S34</f>
        <v>3</v>
      </c>
      <c r="I35" s="60">
        <f>'Resumo dos cursos'!T34</f>
        <v>7</v>
      </c>
      <c r="J35" s="91">
        <f>'Resumo dos cursos'!U34</f>
        <v>0</v>
      </c>
    </row>
    <row r="36" spans="1:10" ht="38.25" x14ac:dyDescent="0.25">
      <c r="A36" s="90" t="str">
        <f>IF('Controle adm. dos cursos'!H35=2023,'Controle adm. dos cursos'!D35," ")</f>
        <v>Conhecimentos Fundamentais para Gestores Municipais de Proteção e Defesa Civil</v>
      </c>
      <c r="B36" s="125" t="str">
        <f>'Controle adm. dos cursos'!G35</f>
        <v>Turma I 2023</v>
      </c>
      <c r="C36" s="60">
        <f>'Resumo dos cursos'!N35</f>
        <v>28</v>
      </c>
      <c r="D36" s="60">
        <f>'Resumo dos cursos'!O35</f>
        <v>28</v>
      </c>
      <c r="E36" s="60">
        <f>'Resumo dos cursos'!P35</f>
        <v>17</v>
      </c>
      <c r="F36" s="57">
        <f t="shared" ref="F36:F54" si="1">IFERROR(((E36*100)/D36),0)</f>
        <v>60.714285714285715</v>
      </c>
      <c r="G36" s="60">
        <f>'Resumo dos cursos'!R35</f>
        <v>0</v>
      </c>
      <c r="H36" s="60">
        <f>'Resumo dos cursos'!S35</f>
        <v>11</v>
      </c>
      <c r="I36" s="60">
        <f>'Resumo dos cursos'!T35</f>
        <v>0</v>
      </c>
      <c r="J36" s="91">
        <f>'Resumo dos cursos'!U35</f>
        <v>0</v>
      </c>
    </row>
    <row r="37" spans="1:10" ht="25.5" x14ac:dyDescent="0.25">
      <c r="A37" s="90" t="str">
        <f>IF('Controle adm. dos cursos'!H36=2023,'Controle adm. dos cursos'!D36," ")</f>
        <v>RISCOS E DESASTRES: conhecimentos fundamentais</v>
      </c>
      <c r="B37" s="125" t="str">
        <f>'Controle adm. dos cursos'!G36</f>
        <v>Turma I 2023</v>
      </c>
      <c r="C37" s="60">
        <f>'Resumo dos cursos'!N36</f>
        <v>67</v>
      </c>
      <c r="D37" s="60">
        <f>'Resumo dos cursos'!O36</f>
        <v>67</v>
      </c>
      <c r="E37" s="60">
        <f>'Resumo dos cursos'!P36</f>
        <v>26</v>
      </c>
      <c r="F37" s="57">
        <f t="shared" si="1"/>
        <v>38.805970149253731</v>
      </c>
      <c r="G37" s="60">
        <f>'Resumo dos cursos'!R36</f>
        <v>4</v>
      </c>
      <c r="H37" s="60">
        <f>'Resumo dos cursos'!S36</f>
        <v>5</v>
      </c>
      <c r="I37" s="60">
        <f>'Resumo dos cursos'!T36</f>
        <v>32</v>
      </c>
      <c r="J37" s="91">
        <f>'Resumo dos cursos'!U36</f>
        <v>0</v>
      </c>
    </row>
    <row r="38" spans="1:10" ht="25.5" x14ac:dyDescent="0.25">
      <c r="A38" s="90" t="str">
        <f>IF('Controle adm. dos cursos'!H37=2023,'Controle adm. dos cursos'!D37," ")</f>
        <v>Atendimento de Emergências em Edificações</v>
      </c>
      <c r="B38" s="125" t="str">
        <f>'Controle adm. dos cursos'!G37</f>
        <v>Turma SESP</v>
      </c>
      <c r="C38" s="60">
        <f>'Resumo dos cursos'!N37</f>
        <v>278</v>
      </c>
      <c r="D38" s="60">
        <f>'Resumo dos cursos'!O37</f>
        <v>278</v>
      </c>
      <c r="E38" s="60">
        <f>'Resumo dos cursos'!P37</f>
        <v>211</v>
      </c>
      <c r="F38" s="57">
        <f t="shared" si="1"/>
        <v>75.899280575539564</v>
      </c>
      <c r="G38" s="60">
        <f>'Resumo dos cursos'!R37</f>
        <v>34</v>
      </c>
      <c r="H38" s="60">
        <f>'Resumo dos cursos'!S37</f>
        <v>4</v>
      </c>
      <c r="I38" s="60">
        <f>'Resumo dos cursos'!T37</f>
        <v>29</v>
      </c>
      <c r="J38" s="91">
        <f>'Resumo dos cursos'!U37</f>
        <v>0</v>
      </c>
    </row>
    <row r="39" spans="1:10" ht="33.75" x14ac:dyDescent="0.25">
      <c r="A39" s="90" t="str">
        <f>IF('Controle adm. dos cursos'!H38=2023,'Controle adm. dos cursos'!D38," ")</f>
        <v>Capacitação Presencial COMPDECs</v>
      </c>
      <c r="B39" s="125" t="str">
        <f>'Controle adm. dos cursos'!G38</f>
        <v>Telêmaco Borba e Ponta Grossa</v>
      </c>
      <c r="C39" s="60">
        <f>'Resumo dos cursos'!N38</f>
        <v>28</v>
      </c>
      <c r="D39" s="60">
        <f>'Resumo dos cursos'!O38</f>
        <v>28</v>
      </c>
      <c r="E39" s="60">
        <f>'Resumo dos cursos'!P38</f>
        <v>28</v>
      </c>
      <c r="F39" s="57">
        <f t="shared" si="1"/>
        <v>100</v>
      </c>
      <c r="G39" s="60">
        <f>'Resumo dos cursos'!R38</f>
        <v>0</v>
      </c>
      <c r="H39" s="60">
        <f>'Resumo dos cursos'!S38</f>
        <v>0</v>
      </c>
      <c r="I39" s="60">
        <f>'Resumo dos cursos'!T38</f>
        <v>0</v>
      </c>
      <c r="J39" s="91">
        <f>'Resumo dos cursos'!U38</f>
        <v>0</v>
      </c>
    </row>
    <row r="40" spans="1:10" ht="25.5" x14ac:dyDescent="0.25">
      <c r="A40" s="90" t="str">
        <f>IF('Controle adm. dos cursos'!H39=2023,'Controle adm. dos cursos'!D39," ")</f>
        <v>Atendimento a Emergências com Produtos Perigosos</v>
      </c>
      <c r="B40" s="125" t="str">
        <f>'Controle adm. dos cursos'!G39</f>
        <v>Turma I 2023</v>
      </c>
      <c r="C40" s="60">
        <f>'Resumo dos cursos'!N39</f>
        <v>311</v>
      </c>
      <c r="D40" s="60">
        <f>'Resumo dos cursos'!O39</f>
        <v>311</v>
      </c>
      <c r="E40" s="60">
        <f>'Resumo dos cursos'!P39</f>
        <v>162</v>
      </c>
      <c r="F40" s="57">
        <f t="shared" si="1"/>
        <v>52.09003215434084</v>
      </c>
      <c r="G40" s="60">
        <f>'Resumo dos cursos'!R39</f>
        <v>6</v>
      </c>
      <c r="H40" s="60">
        <f>'Resumo dos cursos'!S39</f>
        <v>23</v>
      </c>
      <c r="I40" s="60">
        <f>'Resumo dos cursos'!T39</f>
        <v>120</v>
      </c>
      <c r="J40" s="91">
        <f>'Resumo dos cursos'!U39</f>
        <v>0</v>
      </c>
    </row>
    <row r="41" spans="1:10" ht="38.25" x14ac:dyDescent="0.25">
      <c r="A41" s="90" t="str">
        <f>IF('Controle adm. dos cursos'!H40=2023,'Controle adm. dos cursos'!D40," ")</f>
        <v>Conhecimentos Fundamentais para Gestores Municipais de Proteção e Defesa Civil</v>
      </c>
      <c r="B41" s="125" t="str">
        <f>'Controle adm. dos cursos'!G40</f>
        <v>Turma II 2023</v>
      </c>
      <c r="C41" s="60">
        <f>'Resumo dos cursos'!N40</f>
        <v>24</v>
      </c>
      <c r="D41" s="60">
        <f>'Resumo dos cursos'!O40</f>
        <v>24</v>
      </c>
      <c r="E41" s="60">
        <f>'Resumo dos cursos'!P40</f>
        <v>13</v>
      </c>
      <c r="F41" s="57">
        <f t="shared" si="1"/>
        <v>54.166666666666664</v>
      </c>
      <c r="G41" s="60">
        <f>'Resumo dos cursos'!R40</f>
        <v>0</v>
      </c>
      <c r="H41" s="60">
        <f>'Resumo dos cursos'!S40</f>
        <v>11</v>
      </c>
      <c r="I41" s="60">
        <f>'Resumo dos cursos'!T40</f>
        <v>0</v>
      </c>
      <c r="J41" s="91">
        <f>'Resumo dos cursos'!U40</f>
        <v>0</v>
      </c>
    </row>
    <row r="42" spans="1:10" ht="25.5" x14ac:dyDescent="0.25">
      <c r="A42" s="90" t="str">
        <f>IF('Controle adm. dos cursos'!H41=2023,'Controle adm. dos cursos'!D41," ")</f>
        <v>Formação de Brigadistas Escolares e Monitores de Segurança</v>
      </c>
      <c r="B42" s="125" t="str">
        <f>'Controle adm. dos cursos'!G41</f>
        <v>Turma I 2023</v>
      </c>
      <c r="C42" s="61">
        <f>'Resumo dos cursos'!N41</f>
        <v>13955</v>
      </c>
      <c r="D42" s="61">
        <f>'Resumo dos cursos'!O41</f>
        <v>13955</v>
      </c>
      <c r="E42" s="61">
        <f>'Resumo dos cursos'!P41</f>
        <v>11098</v>
      </c>
      <c r="F42" s="57">
        <f t="shared" si="1"/>
        <v>79.527051236116094</v>
      </c>
      <c r="G42" s="61">
        <f>'Resumo dos cursos'!R41</f>
        <v>872</v>
      </c>
      <c r="H42" s="61">
        <f>'Resumo dos cursos'!S41</f>
        <v>619</v>
      </c>
      <c r="I42" s="61">
        <f>'Resumo dos cursos'!T41</f>
        <v>1366</v>
      </c>
      <c r="J42" s="62">
        <f>'Resumo dos cursos'!U41</f>
        <v>0</v>
      </c>
    </row>
    <row r="43" spans="1:10" x14ac:dyDescent="0.25">
      <c r="A43" s="90" t="str">
        <f>IF('Controle adm. dos cursos'!H42=2023,'Controle adm. dos cursos'!D42," ")</f>
        <v>Capacitação Presencial COMPDECs</v>
      </c>
      <c r="B43" s="125" t="str">
        <f>'Controle adm. dos cursos'!G42</f>
        <v>Umuarama</v>
      </c>
      <c r="C43" s="60">
        <f>'Resumo dos cursos'!N42</f>
        <v>12</v>
      </c>
      <c r="D43" s="60">
        <f>'Resumo dos cursos'!O42</f>
        <v>12</v>
      </c>
      <c r="E43" s="60">
        <f>'Resumo dos cursos'!P42</f>
        <v>12</v>
      </c>
      <c r="F43" s="57">
        <f t="shared" si="1"/>
        <v>100</v>
      </c>
      <c r="G43" s="60">
        <f>'Resumo dos cursos'!R42</f>
        <v>0</v>
      </c>
      <c r="H43" s="60">
        <f>'Resumo dos cursos'!S42</f>
        <v>0</v>
      </c>
      <c r="I43" s="60">
        <f>'Resumo dos cursos'!T42</f>
        <v>0</v>
      </c>
      <c r="J43" s="91">
        <f>'Resumo dos cursos'!U42</f>
        <v>0</v>
      </c>
    </row>
    <row r="44" spans="1:10" ht="25.5" x14ac:dyDescent="0.25">
      <c r="A44" s="90" t="str">
        <f>IF('Controle adm. dos cursos'!H43=2023,'Controle adm. dos cursos'!D43," ")</f>
        <v>Capacitação em Brigadistas Civis Voluntários</v>
      </c>
      <c r="B44" s="125" t="str">
        <f>'Controle adm. dos cursos'!G43</f>
        <v>Turma I 2023</v>
      </c>
      <c r="C44" s="60">
        <f>'Resumo dos cursos'!N43</f>
        <v>318</v>
      </c>
      <c r="D44" s="60">
        <f>'Resumo dos cursos'!O43</f>
        <v>318</v>
      </c>
      <c r="E44" s="60">
        <f>'Resumo dos cursos'!P43</f>
        <v>64</v>
      </c>
      <c r="F44" s="57">
        <f t="shared" si="1"/>
        <v>20.125786163522012</v>
      </c>
      <c r="G44" s="60">
        <f>'Resumo dos cursos'!R43</f>
        <v>7</v>
      </c>
      <c r="H44" s="60">
        <f>'Resumo dos cursos'!S43</f>
        <v>146</v>
      </c>
      <c r="I44" s="60">
        <f>'Resumo dos cursos'!T43</f>
        <v>101</v>
      </c>
      <c r="J44" s="91">
        <f>'Resumo dos cursos'!U43</f>
        <v>0</v>
      </c>
    </row>
    <row r="45" spans="1:10" ht="22.5" x14ac:dyDescent="0.25">
      <c r="A45" s="90" t="str">
        <f>IF('Controle adm. dos cursos'!H44=2023,'Controle adm. dos cursos'!D44," ")</f>
        <v>Capacitação Presencial COMPDECs</v>
      </c>
      <c r="B45" s="125" t="str">
        <f>'Controle adm. dos cursos'!G44</f>
        <v>Francisco Beltrão</v>
      </c>
      <c r="C45" s="60">
        <f>'Resumo dos cursos'!N44</f>
        <v>11</v>
      </c>
      <c r="D45" s="60">
        <f>'Resumo dos cursos'!O44</f>
        <v>11</v>
      </c>
      <c r="E45" s="60">
        <f>'Resumo dos cursos'!P44</f>
        <v>11</v>
      </c>
      <c r="F45" s="57">
        <f t="shared" si="1"/>
        <v>100</v>
      </c>
      <c r="G45" s="60">
        <f>'Resumo dos cursos'!R44</f>
        <v>0</v>
      </c>
      <c r="H45" s="60">
        <f>'Resumo dos cursos'!S44</f>
        <v>0</v>
      </c>
      <c r="I45" s="60">
        <f>'Resumo dos cursos'!T44</f>
        <v>0</v>
      </c>
      <c r="J45" s="91">
        <f>'Resumo dos cursos'!U44</f>
        <v>0</v>
      </c>
    </row>
    <row r="46" spans="1:10" ht="38.25" x14ac:dyDescent="0.25">
      <c r="A46" s="90" t="str">
        <f>IF('Controle adm. dos cursos'!H45=2023,'Controle adm. dos cursos'!D45," ")</f>
        <v>Conhecimentos Básicos para Integrantes da Rede Estadual de Emergência de Radioamadores</v>
      </c>
      <c r="B46" s="125" t="str">
        <f>'Controle adm. dos cursos'!G45</f>
        <v>Turma I 2023</v>
      </c>
      <c r="C46" s="60">
        <f>'Resumo dos cursos'!N45</f>
        <v>55</v>
      </c>
      <c r="D46" s="60">
        <f>'Resumo dos cursos'!O45</f>
        <v>55</v>
      </c>
      <c r="E46" s="60">
        <f>'Resumo dos cursos'!P45</f>
        <v>42</v>
      </c>
      <c r="F46" s="57">
        <f t="shared" si="1"/>
        <v>76.36363636363636</v>
      </c>
      <c r="G46" s="60">
        <f>'Resumo dos cursos'!R45</f>
        <v>3</v>
      </c>
      <c r="H46" s="60">
        <f>'Resumo dos cursos'!S45</f>
        <v>0</v>
      </c>
      <c r="I46" s="60">
        <f>'Resumo dos cursos'!T45</f>
        <v>10</v>
      </c>
      <c r="J46" s="91">
        <f>'Resumo dos cursos'!U45</f>
        <v>0</v>
      </c>
    </row>
    <row r="47" spans="1:10" x14ac:dyDescent="0.25">
      <c r="A47" s="90" t="str">
        <f>IF('Controle adm. dos cursos'!H46=2023,'Controle adm. dos cursos'!D46," ")</f>
        <v>Capacitação Presencial COMPDECs</v>
      </c>
      <c r="B47" s="125" t="str">
        <f>'Controle adm. dos cursos'!G46</f>
        <v>União da Vitória</v>
      </c>
      <c r="C47" s="60">
        <f>'Resumo dos cursos'!N46</f>
        <v>0</v>
      </c>
      <c r="D47" s="60">
        <f>'Resumo dos cursos'!O46</f>
        <v>0</v>
      </c>
      <c r="E47" s="60">
        <f>'Resumo dos cursos'!P46</f>
        <v>0</v>
      </c>
      <c r="F47" s="57">
        <f t="shared" si="1"/>
        <v>0</v>
      </c>
      <c r="G47" s="60">
        <f>'Resumo dos cursos'!R46</f>
        <v>0</v>
      </c>
      <c r="H47" s="60">
        <f>'Resumo dos cursos'!S46</f>
        <v>0</v>
      </c>
      <c r="I47" s="60">
        <f>'Resumo dos cursos'!T46</f>
        <v>0</v>
      </c>
      <c r="J47" s="91">
        <f>'Resumo dos cursos'!U46</f>
        <v>0</v>
      </c>
    </row>
    <row r="48" spans="1:10" x14ac:dyDescent="0.25">
      <c r="A48" s="90" t="str">
        <f>IF('Controle adm. dos cursos'!H47=2023,'Controle adm. dos cursos'!D47," ")</f>
        <v>Capacitação Presencial COMPDECs</v>
      </c>
      <c r="B48" s="125" t="str">
        <f>'Controle adm. dos cursos'!G47</f>
        <v>Irati</v>
      </c>
      <c r="C48" s="60">
        <f>'Resumo dos cursos'!N47</f>
        <v>1</v>
      </c>
      <c r="D48" s="60">
        <f>'Resumo dos cursos'!O47</f>
        <v>1</v>
      </c>
      <c r="E48" s="60">
        <f>'Resumo dos cursos'!P47</f>
        <v>1</v>
      </c>
      <c r="F48" s="57">
        <f t="shared" si="1"/>
        <v>100</v>
      </c>
      <c r="G48" s="60">
        <f>'Resumo dos cursos'!R47</f>
        <v>0</v>
      </c>
      <c r="H48" s="60">
        <f>'Resumo dos cursos'!S47</f>
        <v>0</v>
      </c>
      <c r="I48" s="60">
        <f>'Resumo dos cursos'!T47</f>
        <v>0</v>
      </c>
      <c r="J48" s="91">
        <f>'Resumo dos cursos'!U47</f>
        <v>0</v>
      </c>
    </row>
    <row r="49" spans="1:10" x14ac:dyDescent="0.25">
      <c r="A49" s="90" t="str">
        <f>IF('Controle adm. dos cursos'!H48=2023,'Controle adm. dos cursos'!D48," ")</f>
        <v>Capacitação Presencial COMPDECs</v>
      </c>
      <c r="B49" s="125" t="str">
        <f>'Controle adm. dos cursos'!G48</f>
        <v>Paranavaí</v>
      </c>
      <c r="C49" s="60">
        <f>'Resumo dos cursos'!N48</f>
        <v>19</v>
      </c>
      <c r="D49" s="60">
        <f>'Resumo dos cursos'!O48</f>
        <v>19</v>
      </c>
      <c r="E49" s="60">
        <f>'Resumo dos cursos'!P48</f>
        <v>19</v>
      </c>
      <c r="F49" s="57">
        <f t="shared" si="1"/>
        <v>100</v>
      </c>
      <c r="G49" s="60">
        <f>'Resumo dos cursos'!R48</f>
        <v>0</v>
      </c>
      <c r="H49" s="60">
        <f>'Resumo dos cursos'!S48</f>
        <v>0</v>
      </c>
      <c r="I49" s="60">
        <f>'Resumo dos cursos'!T48</f>
        <v>0</v>
      </c>
      <c r="J49" s="91">
        <f>'Resumo dos cursos'!U48</f>
        <v>0</v>
      </c>
    </row>
    <row r="50" spans="1:10" ht="25.5" x14ac:dyDescent="0.25">
      <c r="A50" s="90" t="str">
        <f>IF('Controle adm. dos cursos'!H49=2023,'Controle adm. dos cursos'!D49," ")</f>
        <v>RISCOS E DESASTRES: conhecimentos fundamentais</v>
      </c>
      <c r="B50" s="125" t="str">
        <f>'Controle adm. dos cursos'!G49</f>
        <v>Turma II 2023</v>
      </c>
      <c r="C50" s="60">
        <f>'Resumo dos cursos'!N49</f>
        <v>49</v>
      </c>
      <c r="D50" s="60">
        <f>'Resumo dos cursos'!O49</f>
        <v>49</v>
      </c>
      <c r="E50" s="60">
        <f>'Resumo dos cursos'!P49</f>
        <v>20</v>
      </c>
      <c r="F50" s="57">
        <f t="shared" si="1"/>
        <v>40.816326530612244</v>
      </c>
      <c r="G50" s="60">
        <f>'Resumo dos cursos'!R49</f>
        <v>4</v>
      </c>
      <c r="H50" s="60">
        <f>'Resumo dos cursos'!S49</f>
        <v>1</v>
      </c>
      <c r="I50" s="60">
        <f>'Resumo dos cursos'!T49</f>
        <v>24</v>
      </c>
      <c r="J50" s="91">
        <f>'Resumo dos cursos'!U49</f>
        <v>0</v>
      </c>
    </row>
    <row r="51" spans="1:10" ht="25.5" x14ac:dyDescent="0.25">
      <c r="A51" s="90" t="str">
        <f>IF('Controle adm. dos cursos'!H50=2023,'Controle adm. dos cursos'!D50," ")</f>
        <v>Capacitação em Brigadistas Civis Voluntários</v>
      </c>
      <c r="B51" s="125" t="str">
        <f>'Controle adm. dos cursos'!G50</f>
        <v>TURMA - Ponta Grossa 2023</v>
      </c>
      <c r="C51" s="60">
        <f>'Resumo dos cursos'!N50</f>
        <v>1</v>
      </c>
      <c r="D51" s="60">
        <f>'Resumo dos cursos'!O50</f>
        <v>1</v>
      </c>
      <c r="E51" s="60">
        <f>'Resumo dos cursos'!P50</f>
        <v>0</v>
      </c>
      <c r="F51" s="57">
        <f t="shared" si="1"/>
        <v>0</v>
      </c>
      <c r="G51" s="60">
        <f>'Resumo dos cursos'!R50</f>
        <v>0</v>
      </c>
      <c r="H51" s="60">
        <f>'Resumo dos cursos'!S50</f>
        <v>0</v>
      </c>
      <c r="I51" s="60">
        <f>'Resumo dos cursos'!T50</f>
        <v>0</v>
      </c>
      <c r="J51" s="91">
        <f>'Resumo dos cursos'!U50</f>
        <v>0</v>
      </c>
    </row>
    <row r="52" spans="1:10" ht="25.5" x14ac:dyDescent="0.25">
      <c r="A52" s="90" t="str">
        <f>IF('Controle adm. dos cursos'!H51=2023,'Controle adm. dos cursos'!D51," ")</f>
        <v>Segurança de Barragens - Anomalias e Boas Práticas</v>
      </c>
      <c r="B52" s="125" t="str">
        <f>'Controle adm. dos cursos'!G51</f>
        <v>Turma I 2023</v>
      </c>
      <c r="C52" s="60">
        <f>'Resumo dos cursos'!N51</f>
        <v>159</v>
      </c>
      <c r="D52" s="60">
        <f>'Resumo dos cursos'!O51</f>
        <v>159</v>
      </c>
      <c r="E52" s="60">
        <f>'Resumo dos cursos'!P51</f>
        <v>83</v>
      </c>
      <c r="F52" s="57">
        <f t="shared" si="1"/>
        <v>52.20125786163522</v>
      </c>
      <c r="G52" s="60">
        <f>'Resumo dos cursos'!R51</f>
        <v>3</v>
      </c>
      <c r="H52" s="60">
        <f>'Resumo dos cursos'!S51</f>
        <v>2</v>
      </c>
      <c r="I52" s="60">
        <f>'Resumo dos cursos'!T51</f>
        <v>71</v>
      </c>
      <c r="J52" s="91">
        <f>'Resumo dos cursos'!U51</f>
        <v>0</v>
      </c>
    </row>
    <row r="53" spans="1:10" x14ac:dyDescent="0.25">
      <c r="A53" s="90" t="str">
        <f>IF('Controle adm. dos cursos'!H52=2023,'Controle adm. dos cursos'!D52," ")</f>
        <v>Sistema de Comando de Incidentes</v>
      </c>
      <c r="B53" s="125" t="str">
        <f>'Controle adm. dos cursos'!G52</f>
        <v>Turma I 2023</v>
      </c>
      <c r="C53" s="60">
        <f>'Resumo dos cursos'!N52</f>
        <v>80</v>
      </c>
      <c r="D53" s="60">
        <f>'Resumo dos cursos'!O52</f>
        <v>80</v>
      </c>
      <c r="E53" s="60">
        <f>'Resumo dos cursos'!P52</f>
        <v>24</v>
      </c>
      <c r="F53" s="57">
        <f t="shared" si="1"/>
        <v>30</v>
      </c>
      <c r="G53" s="60">
        <f>'Resumo dos cursos'!R52</f>
        <v>5</v>
      </c>
      <c r="H53" s="60">
        <f>'Resumo dos cursos'!S52</f>
        <v>10</v>
      </c>
      <c r="I53" s="60">
        <f>'Resumo dos cursos'!T52</f>
        <v>41</v>
      </c>
      <c r="J53" s="91">
        <f>'Resumo dos cursos'!U52</f>
        <v>0</v>
      </c>
    </row>
    <row r="54" spans="1:10" ht="23.25" thickBot="1" x14ac:dyDescent="0.3">
      <c r="A54" s="92" t="str">
        <f>IF('Controle adm. dos cursos'!H53=2023,'Controle adm. dos cursos'!D53," ")</f>
        <v>Sistema de Comando de Incidentes</v>
      </c>
      <c r="B54" s="145" t="str">
        <f>'Controle adm. dos cursos'!G53</f>
        <v>Turma Legendários</v>
      </c>
      <c r="C54" s="64">
        <f>'Resumo dos cursos'!N53</f>
        <v>66</v>
      </c>
      <c r="D54" s="64">
        <f>'Resumo dos cursos'!O53</f>
        <v>66</v>
      </c>
      <c r="E54" s="64">
        <f>'Resumo dos cursos'!P53</f>
        <v>46</v>
      </c>
      <c r="F54" s="101">
        <f t="shared" si="1"/>
        <v>69.696969696969703</v>
      </c>
      <c r="G54" s="64">
        <f>'Resumo dos cursos'!R53</f>
        <v>3</v>
      </c>
      <c r="H54" s="64">
        <f>'Resumo dos cursos'!S53</f>
        <v>0</v>
      </c>
      <c r="I54" s="64">
        <f>'Resumo dos cursos'!T53</f>
        <v>17</v>
      </c>
      <c r="J54" s="93">
        <f>'Resumo dos cursos'!U53</f>
        <v>0</v>
      </c>
    </row>
    <row r="55" spans="1:10" x14ac:dyDescent="0.25">
      <c r="A55" s="117"/>
      <c r="B55" s="118"/>
      <c r="C55" s="119"/>
      <c r="D55" s="119"/>
      <c r="E55" s="119"/>
      <c r="F55" s="108"/>
      <c r="G55" s="119"/>
      <c r="H55" s="119"/>
      <c r="I55" s="119"/>
      <c r="J55" s="119"/>
    </row>
    <row r="56" spans="1:10" x14ac:dyDescent="0.25">
      <c r="A56" s="117"/>
      <c r="B56" s="118"/>
      <c r="C56" s="119"/>
      <c r="D56" s="119"/>
      <c r="E56" s="119"/>
      <c r="F56" s="108"/>
      <c r="G56" s="119"/>
      <c r="H56" s="119"/>
      <c r="I56" s="119"/>
      <c r="J56" s="119"/>
    </row>
    <row r="57" spans="1:10" x14ac:dyDescent="0.25">
      <c r="A57" s="117"/>
      <c r="B57" s="118"/>
      <c r="C57" s="119"/>
      <c r="D57" s="119"/>
      <c r="E57" s="119"/>
      <c r="F57" s="108"/>
      <c r="G57" s="119"/>
      <c r="H57" s="119"/>
      <c r="I57" s="119"/>
      <c r="J57" s="119"/>
    </row>
    <row r="58" spans="1:10" x14ac:dyDescent="0.25">
      <c r="A58" s="117"/>
      <c r="B58" s="118"/>
      <c r="C58" s="119"/>
      <c r="D58" s="119"/>
      <c r="E58" s="119"/>
      <c r="F58" s="108"/>
      <c r="G58" s="119"/>
      <c r="H58" s="119"/>
      <c r="I58" s="119"/>
      <c r="J58" s="119"/>
    </row>
    <row r="59" spans="1:10" x14ac:dyDescent="0.25">
      <c r="A59" s="117"/>
      <c r="B59" s="118"/>
      <c r="C59" s="119"/>
      <c r="D59" s="119"/>
      <c r="E59" s="119"/>
      <c r="F59" s="108"/>
      <c r="G59" s="119"/>
      <c r="H59" s="119"/>
      <c r="I59" s="119"/>
      <c r="J59" s="119"/>
    </row>
    <row r="60" spans="1:10" x14ac:dyDescent="0.25">
      <c r="A60" s="117"/>
      <c r="B60" s="118"/>
      <c r="C60" s="119"/>
      <c r="D60" s="119"/>
      <c r="E60" s="119"/>
      <c r="F60" s="108"/>
      <c r="G60" s="119"/>
      <c r="H60" s="119"/>
      <c r="I60" s="119"/>
      <c r="J60" s="119"/>
    </row>
    <row r="61" spans="1:10" x14ac:dyDescent="0.25">
      <c r="A61" s="120"/>
      <c r="B61" s="119"/>
      <c r="C61" s="119"/>
      <c r="D61" s="119"/>
      <c r="E61" s="119"/>
      <c r="F61" s="108"/>
      <c r="G61" s="119"/>
      <c r="H61" s="119"/>
      <c r="I61" s="119"/>
      <c r="J61" s="119"/>
    </row>
    <row r="62" spans="1:10" x14ac:dyDescent="0.25">
      <c r="A62" s="120"/>
      <c r="B62" s="119"/>
      <c r="C62" s="119"/>
      <c r="D62" s="119"/>
      <c r="E62" s="119"/>
      <c r="F62" s="108"/>
      <c r="G62" s="119"/>
      <c r="H62" s="119"/>
      <c r="I62" s="119"/>
      <c r="J62" s="119"/>
    </row>
    <row r="63" spans="1:10" x14ac:dyDescent="0.25">
      <c r="A63" s="120"/>
      <c r="B63" s="119"/>
      <c r="C63" s="119"/>
      <c r="D63" s="119"/>
      <c r="E63" s="119"/>
      <c r="F63" s="108"/>
      <c r="G63" s="119"/>
      <c r="H63" s="119"/>
      <c r="I63" s="119"/>
      <c r="J63" s="119"/>
    </row>
  </sheetData>
  <sheetProtection algorithmName="SHA-512" hashValue="VpwM3MH0VjJmx1RmCqeeyAKXqBT94YplpG1HSM4VRM8wkuAcxcHBOdePnn+XRyqhxGKPRufyMq4TQRLukdviwg==" saltValue="NSuFsB9sDUoDAOC7VjA56A==" spinCount="100000" sheet="1" objects="1" scenarios="1"/>
  <mergeCells count="3">
    <mergeCell ref="A1:J1"/>
    <mergeCell ref="B2:B3"/>
    <mergeCell ref="C2:J2"/>
  </mergeCells>
  <conditionalFormatting sqref="F35:F60">
    <cfRule type="cellIs" dxfId="21" priority="2" operator="equal">
      <formula>0</formula>
    </cfRule>
    <cfRule type="cellIs" dxfId="20" priority="3" operator="equal">
      <formula>0</formula>
    </cfRule>
  </conditionalFormatting>
  <conditionalFormatting sqref="F5:F34">
    <cfRule type="cellIs" dxfId="19" priority="4" operator="equal">
      <formula>0</formula>
    </cfRule>
    <cfRule type="cellIs" dxfId="18" priority="5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ignoredErrors>
    <ignoredError sqref="F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zoomScale="160" zoomScaleNormal="160" workbookViewId="0">
      <selection activeCell="C2" sqref="C2:J2"/>
    </sheetView>
  </sheetViews>
  <sheetFormatPr defaultColWidth="9.140625" defaultRowHeight="14.25" x14ac:dyDescent="0.25"/>
  <cols>
    <col min="1" max="1" width="35.28515625" style="44" customWidth="1"/>
    <col min="2" max="2" width="12" style="15" customWidth="1"/>
    <col min="3" max="3" width="8.28515625" style="15" customWidth="1"/>
    <col min="4" max="4" width="12.7109375" style="15" customWidth="1"/>
    <col min="5" max="5" width="10.5703125" style="15" customWidth="1"/>
    <col min="6" max="6" width="7.85546875" style="19" customWidth="1"/>
    <col min="7" max="8" width="11.42578125" style="15" customWidth="1"/>
    <col min="9" max="9" width="14.7109375" style="15" customWidth="1"/>
    <col min="10" max="10" width="12" style="15" customWidth="1"/>
    <col min="11" max="16384" width="9.140625" style="15"/>
  </cols>
  <sheetData>
    <row r="1" spans="1:10" ht="53.25" customHeight="1" x14ac:dyDescent="0.25">
      <c r="A1" s="161" t="s">
        <v>271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75" customHeight="1" x14ac:dyDescent="0.25">
      <c r="A2" s="110"/>
      <c r="B2" s="121"/>
      <c r="C2" s="165" t="s">
        <v>248</v>
      </c>
      <c r="D2" s="165"/>
      <c r="E2" s="165"/>
      <c r="F2" s="165"/>
      <c r="G2" s="165"/>
      <c r="H2" s="165"/>
      <c r="I2" s="165"/>
      <c r="J2" s="165"/>
    </row>
    <row r="3" spans="1:10" ht="36" x14ac:dyDescent="0.25">
      <c r="A3" s="111"/>
      <c r="B3" s="122" t="s">
        <v>272</v>
      </c>
      <c r="C3" s="112" t="s">
        <v>229</v>
      </c>
      <c r="D3" s="112" t="s">
        <v>230</v>
      </c>
      <c r="E3" s="112" t="s">
        <v>231</v>
      </c>
      <c r="F3" s="113" t="s">
        <v>249</v>
      </c>
      <c r="G3" s="112" t="s">
        <v>233</v>
      </c>
      <c r="H3" s="112" t="s">
        <v>234</v>
      </c>
      <c r="I3" s="112" t="s">
        <v>235</v>
      </c>
      <c r="J3" s="114" t="s">
        <v>236</v>
      </c>
    </row>
    <row r="4" spans="1:10" ht="15.75" x14ac:dyDescent="0.25">
      <c r="A4" s="86" t="s">
        <v>250</v>
      </c>
      <c r="B4" s="50">
        <f>COUNTIF(Tabela3[Ano],"2024")</f>
        <v>35</v>
      </c>
      <c r="C4" s="51">
        <f>SUM(C5:C7)</f>
        <v>8726</v>
      </c>
      <c r="D4" s="51">
        <f>SUM(D5:D7)</f>
        <v>8726</v>
      </c>
      <c r="E4" s="51">
        <f>SUM(E5:E7)</f>
        <v>6719</v>
      </c>
      <c r="F4" s="52">
        <f t="shared" ref="F4:F35" si="0">IFERROR(((E4*100)/D4),0)</f>
        <v>76.999770799908319</v>
      </c>
      <c r="G4" s="51">
        <f>SUM(G5:G7)</f>
        <v>408</v>
      </c>
      <c r="H4" s="51">
        <f>SUM(H5:H7)</f>
        <v>291</v>
      </c>
      <c r="I4" s="51">
        <f>SUM(I5:I7)</f>
        <v>1244</v>
      </c>
      <c r="J4" s="53">
        <f>SUM(J5:J7)</f>
        <v>0</v>
      </c>
    </row>
    <row r="5" spans="1:10" x14ac:dyDescent="0.25">
      <c r="A5" s="88" t="s">
        <v>251</v>
      </c>
      <c r="B5" s="55">
        <f>COUNTIFS(Tabela3[Ano],"2024",Tabela3[Modalidade de Ensino],"Presencial")</f>
        <v>1</v>
      </c>
      <c r="C5" s="56">
        <f>SUMIFS(Tabela3[Inscritos],Tabela3[Ano],"2024",Tabela3[Modalidade de Ensino],"Presencial")</f>
        <v>239</v>
      </c>
      <c r="D5" s="56">
        <f>SUMIFS(Tabela3[Matriculados],Tabela3[Ano],"2024",Tabela3[Modalidade de Ensino],"Presencial")</f>
        <v>239</v>
      </c>
      <c r="E5" s="56">
        <f>SUMIFS(Tabela3[Aprovados],Tabela3[Ano],"2024",Tabela3[Modalidade de Ensino],"Presencial")</f>
        <v>239</v>
      </c>
      <c r="F5" s="96">
        <f t="shared" si="0"/>
        <v>100</v>
      </c>
      <c r="G5" s="56">
        <f>SUMIFS(Tabela3[Reprovados],Tabela3[Ano],"2024",Tabela3[Modalidade de Ensino],"Presencial")</f>
        <v>0</v>
      </c>
      <c r="H5" s="56">
        <f>SUMIFS(Tabela3[Desistentes],Tabela3[Ano],"2024",Tabela3[Modalidade de Ensino],"Presencial")</f>
        <v>0</v>
      </c>
      <c r="I5" s="56">
        <f>SUMIFS(Tabela3[Não responderam o 1º questionário],Tabela3[Ano],"2024",Tabela3[Modalidade de Ensino],"Presencial")</f>
        <v>0</v>
      </c>
      <c r="J5" s="58">
        <f>SUMIFS(Tabela3[Nunca acessaram o curso],Tabela3[Ano],"2024",Tabela3[Modalidade de Ensino],"Presencial")</f>
        <v>0</v>
      </c>
    </row>
    <row r="6" spans="1:10" x14ac:dyDescent="0.25">
      <c r="A6" s="90" t="s">
        <v>252</v>
      </c>
      <c r="B6" s="60">
        <f>COUNTIFS(Tabela3[Ano],"2024",Tabela3[Modalidade de Ensino],"A Distância (EaD)")</f>
        <v>29</v>
      </c>
      <c r="C6" s="61">
        <f>SUMIFS(Tabela3[Inscritos],Tabela3[Ano],"2024",Tabela3[Modalidade de Ensino],"A Distância (EaD)")</f>
        <v>8348</v>
      </c>
      <c r="D6" s="61">
        <f>SUMIFS(Tabela3[Matriculados],Tabela3[Ano],"2024",Tabela3[Modalidade de Ensino],"A Distância (EaD)")</f>
        <v>8348</v>
      </c>
      <c r="E6" s="61">
        <f>SUMIFS(Tabela3[Aprovados],Tabela3[Ano],"2024",Tabela3[Modalidade de Ensino],"A Distância (EaD)")</f>
        <v>6426</v>
      </c>
      <c r="F6" s="57">
        <f t="shared" si="0"/>
        <v>76.97652132247245</v>
      </c>
      <c r="G6" s="61">
        <f>SUMIFS(Tabela3[Reprovados],Tabela3[Ano],"2024",Tabela3[Modalidade de Ensino],"A Distância (EaD)")</f>
        <v>407</v>
      </c>
      <c r="H6" s="61">
        <f>SUMIFS(Tabela3[Desistentes],Tabela3[Ano],"2024",Tabela3[Modalidade de Ensino],"A Distância (EaD)")</f>
        <v>252</v>
      </c>
      <c r="I6" s="61">
        <f>SUMIFS(Tabela3[Não responderam o 1º questionário],Tabela3[Ano],"2024",Tabela3[Modalidade de Ensino],"A Distância (EaD)")</f>
        <v>1210</v>
      </c>
      <c r="J6" s="62">
        <f>SUMIFS(Tabela3[Nunca acessaram o curso],Tabela3[Ano],"2024",Tabela3[Modalidade de Ensino],"A Distância (EaD)")</f>
        <v>0</v>
      </c>
    </row>
    <row r="7" spans="1:10" ht="15.75" customHeight="1" x14ac:dyDescent="0.25">
      <c r="A7" s="92" t="s">
        <v>253</v>
      </c>
      <c r="B7" s="64">
        <f>COUNTIFS(Tabela3[Ano],"2024",Tabela3[Modalidade de Ensino],"Semipresencial")</f>
        <v>5</v>
      </c>
      <c r="C7" s="65">
        <f>SUMIFS(Tabela3[Inscritos],Tabela3[Ano],"2024",Tabela3[Modalidade de Ensino],"Semipresencial")</f>
        <v>139</v>
      </c>
      <c r="D7" s="65">
        <f>SUMIFS(Tabela3[Matriculados],Tabela3[Ano],"2024",Tabela3[Modalidade de Ensino],"Semipresencial")</f>
        <v>139</v>
      </c>
      <c r="E7" s="65">
        <f>SUMIFS(Tabela3[Aprovados],Tabela3[Ano],"2024",Tabela3[Modalidade de Ensino],"Semipresencial")</f>
        <v>54</v>
      </c>
      <c r="F7" s="101">
        <f t="shared" si="0"/>
        <v>38.848920863309353</v>
      </c>
      <c r="G7" s="65">
        <f>SUMIFS(Tabela3[Reprovados],Tabela3[Ano],"2024",Tabela3[Modalidade de Ensino],"Semipresencial")</f>
        <v>1</v>
      </c>
      <c r="H7" s="65">
        <f>SUMIFS(Tabela3[Desistentes],Tabela3[Ano],"2024",Tabela3[Modalidade de Ensino],"Semipresencial")</f>
        <v>39</v>
      </c>
      <c r="I7" s="65">
        <f>SUMIFS(Tabela3[Não responderam o 1º questionário],Tabela3[Ano],"2024",Tabela3[Modalidade de Ensino],"Semipresencial")</f>
        <v>34</v>
      </c>
      <c r="J7" s="67">
        <f>SUMIFS(Tabela3[Nunca acessaram o curso],Tabela3[Ano],"2024",Tabela3[Modalidade de Ensino],"Semipresencial")</f>
        <v>0</v>
      </c>
    </row>
    <row r="8" spans="1:10" ht="25.5" hidden="1" customHeight="1" x14ac:dyDescent="0.25">
      <c r="A8" s="88" t="str">
        <f>IF('Controle adm. dos cursos'!H3=2019,'Controle adm. dos cursos'!D3," ")</f>
        <v>Conhecimentos Fundamentais em Proteção e Defesa Civil</v>
      </c>
      <c r="B8" s="102"/>
      <c r="C8" s="95">
        <f>'Resumo dos cursos'!N3</f>
        <v>42</v>
      </c>
      <c r="D8" s="95">
        <f>'Resumo dos cursos'!O3</f>
        <v>17</v>
      </c>
      <c r="E8" s="95">
        <f>'Resumo dos cursos'!P3</f>
        <v>16</v>
      </c>
      <c r="F8" s="96">
        <f t="shared" si="0"/>
        <v>94.117647058823536</v>
      </c>
      <c r="G8" s="95">
        <f>'Resumo dos cursos'!R3</f>
        <v>1</v>
      </c>
      <c r="H8" s="95">
        <f>'Resumo dos cursos'!S3</f>
        <v>0</v>
      </c>
      <c r="I8" s="95">
        <f>'Resumo dos cursos'!T3</f>
        <v>0</v>
      </c>
      <c r="J8" s="97">
        <f>'Resumo dos cursos'!U3</f>
        <v>0</v>
      </c>
    </row>
    <row r="9" spans="1:10" ht="38.25" hidden="1" customHeight="1" x14ac:dyDescent="0.25">
      <c r="A9" s="90" t="str">
        <f>IF('Controle adm. dos cursos'!H4=2019,'Controle adm. dos cursos'!D4," ")</f>
        <v>Conhecimentos Básicos para Integrantes da Rede Estadual de Emergência de Radioamadores</v>
      </c>
      <c r="B9" s="60"/>
      <c r="C9" s="60">
        <f>'Resumo dos cursos'!N4</f>
        <v>137</v>
      </c>
      <c r="D9" s="60">
        <f>'Resumo dos cursos'!O4</f>
        <v>137</v>
      </c>
      <c r="E9" s="60">
        <f>'Resumo dos cursos'!P4</f>
        <v>99</v>
      </c>
      <c r="F9" s="57">
        <f t="shared" si="0"/>
        <v>72.262773722627742</v>
      </c>
      <c r="G9" s="60">
        <f>'Resumo dos cursos'!R4</f>
        <v>10</v>
      </c>
      <c r="H9" s="60">
        <f>'Resumo dos cursos'!S4</f>
        <v>1</v>
      </c>
      <c r="I9" s="60">
        <f>'Resumo dos cursos'!T4</f>
        <v>1</v>
      </c>
      <c r="J9" s="91">
        <f>'Resumo dos cursos'!U4</f>
        <v>26</v>
      </c>
    </row>
    <row r="10" spans="1:10" ht="14.25" hidden="1" customHeight="1" x14ac:dyDescent="0.25">
      <c r="A10" s="99" t="str">
        <f>IF('Controle adm. dos cursos'!H5=2019,'Controle adm. dos cursos'!D5," ")</f>
        <v>Sistema de Comando de Incidentes</v>
      </c>
      <c r="B10" s="60"/>
      <c r="C10" s="60">
        <f>'Resumo dos cursos'!N5</f>
        <v>22</v>
      </c>
      <c r="D10" s="60">
        <f>'Resumo dos cursos'!O5</f>
        <v>22</v>
      </c>
      <c r="E10" s="60">
        <f>'Resumo dos cursos'!P5</f>
        <v>9</v>
      </c>
      <c r="F10" s="57">
        <f t="shared" si="0"/>
        <v>40.909090909090907</v>
      </c>
      <c r="G10" s="60">
        <f>'Resumo dos cursos'!R5</f>
        <v>2</v>
      </c>
      <c r="H10" s="60">
        <f>'Resumo dos cursos'!S5</f>
        <v>6</v>
      </c>
      <c r="I10" s="60">
        <f>'Resumo dos cursos'!T5</f>
        <v>3</v>
      </c>
      <c r="J10" s="91">
        <f>'Resumo dos cursos'!U5</f>
        <v>2</v>
      </c>
    </row>
    <row r="11" spans="1:10" ht="14.25" hidden="1" customHeight="1" x14ac:dyDescent="0.25">
      <c r="A11" s="99" t="str">
        <f>IF('Controle adm. dos cursos'!H6=2019,'Controle adm. dos cursos'!D6," ")</f>
        <v>Sistema de Comando de Incidentes</v>
      </c>
      <c r="B11" s="60"/>
      <c r="C11" s="60">
        <f>'Resumo dos cursos'!N6</f>
        <v>27</v>
      </c>
      <c r="D11" s="60">
        <f>'Resumo dos cursos'!O6</f>
        <v>27</v>
      </c>
      <c r="E11" s="60">
        <f>'Resumo dos cursos'!P6</f>
        <v>25</v>
      </c>
      <c r="F11" s="57">
        <f t="shared" si="0"/>
        <v>92.592592592592595</v>
      </c>
      <c r="G11" s="60">
        <f>'Resumo dos cursos'!R6</f>
        <v>0</v>
      </c>
      <c r="H11" s="60">
        <f>'Resumo dos cursos'!S6</f>
        <v>0</v>
      </c>
      <c r="I11" s="60">
        <f>'Resumo dos cursos'!T6</f>
        <v>0</v>
      </c>
      <c r="J11" s="91">
        <f>'Resumo dos cursos'!U6</f>
        <v>2</v>
      </c>
    </row>
    <row r="12" spans="1:10" ht="14.25" hidden="1" customHeight="1" x14ac:dyDescent="0.25">
      <c r="A12" s="99" t="str">
        <f>IF('Controle adm. dos cursos'!H7=2019,'Controle adm. dos cursos'!D7," ")</f>
        <v>Sistema de Comando de Incidentes</v>
      </c>
      <c r="B12" s="60"/>
      <c r="C12" s="60">
        <f>'Resumo dos cursos'!N7</f>
        <v>98</v>
      </c>
      <c r="D12" s="60">
        <f>'Resumo dos cursos'!O7</f>
        <v>98</v>
      </c>
      <c r="E12" s="60">
        <f>'Resumo dos cursos'!P7</f>
        <v>57</v>
      </c>
      <c r="F12" s="57">
        <f t="shared" si="0"/>
        <v>58.163265306122447</v>
      </c>
      <c r="G12" s="60">
        <f>'Resumo dos cursos'!R7</f>
        <v>1</v>
      </c>
      <c r="H12" s="60">
        <f>'Resumo dos cursos'!S7</f>
        <v>5</v>
      </c>
      <c r="I12" s="60">
        <f>'Resumo dos cursos'!T7</f>
        <v>14</v>
      </c>
      <c r="J12" s="91">
        <f>'Resumo dos cursos'!U7</f>
        <v>21</v>
      </c>
    </row>
    <row r="13" spans="1:10" ht="25.5" hidden="1" customHeight="1" x14ac:dyDescent="0.25">
      <c r="A13" s="99" t="str">
        <f>IF('Controle adm. dos cursos'!H8=2019,'Controle adm. dos cursos'!D8," ")</f>
        <v>Atendimento de Emergências em Edificações</v>
      </c>
      <c r="B13" s="60"/>
      <c r="C13" s="60">
        <f>'Resumo dos cursos'!N8</f>
        <v>97</v>
      </c>
      <c r="D13" s="60">
        <f>'Resumo dos cursos'!O8</f>
        <v>97</v>
      </c>
      <c r="E13" s="60">
        <f>'Resumo dos cursos'!P8</f>
        <v>72</v>
      </c>
      <c r="F13" s="57">
        <f t="shared" si="0"/>
        <v>74.226804123711347</v>
      </c>
      <c r="G13" s="60">
        <f>'Resumo dos cursos'!R8</f>
        <v>8</v>
      </c>
      <c r="H13" s="60">
        <f>'Resumo dos cursos'!S8</f>
        <v>2</v>
      </c>
      <c r="I13" s="60">
        <f>'Resumo dos cursos'!T8</f>
        <v>4</v>
      </c>
      <c r="J13" s="91">
        <f>'Resumo dos cursos'!U8</f>
        <v>11</v>
      </c>
    </row>
    <row r="14" spans="1:10" ht="25.5" hidden="1" customHeight="1" x14ac:dyDescent="0.25">
      <c r="A14" s="90" t="str">
        <f>IF('Controle adm. dos cursos'!H9=2019,'Controle adm. dos cursos'!D9," ")</f>
        <v>Atendimento de Emergências em Edificações</v>
      </c>
      <c r="B14" s="60"/>
      <c r="C14" s="60">
        <f>'Resumo dos cursos'!N9</f>
        <v>277</v>
      </c>
      <c r="D14" s="60">
        <f>'Resumo dos cursos'!O9</f>
        <v>277</v>
      </c>
      <c r="E14" s="60">
        <f>'Resumo dos cursos'!P9</f>
        <v>190</v>
      </c>
      <c r="F14" s="57">
        <f t="shared" si="0"/>
        <v>68.592057761732846</v>
      </c>
      <c r="G14" s="60">
        <f>'Resumo dos cursos'!R9</f>
        <v>7</v>
      </c>
      <c r="H14" s="60">
        <f>'Resumo dos cursos'!S9</f>
        <v>8</v>
      </c>
      <c r="I14" s="60">
        <f>'Resumo dos cursos'!T9</f>
        <v>11</v>
      </c>
      <c r="J14" s="91">
        <f>'Resumo dos cursos'!U9</f>
        <v>61</v>
      </c>
    </row>
    <row r="15" spans="1:10" ht="38.25" hidden="1" x14ac:dyDescent="0.25">
      <c r="A15" s="90" t="str">
        <f>IF('Controle adm. dos cursos'!H14=2021,'Controle adm. dos cursos'!D14," ")</f>
        <v>Conhecimentos Básicos para Integrantes da Rede Estadual de Emergência de Radioamadores</v>
      </c>
      <c r="B15" s="98" t="str">
        <f>'Controle adm. dos cursos'!G14</f>
        <v>Turma 2021</v>
      </c>
      <c r="C15" s="60">
        <f>'Resumo dos cursos'!N14</f>
        <v>126</v>
      </c>
      <c r="D15" s="60">
        <f>'Resumo dos cursos'!O14</f>
        <v>126</v>
      </c>
      <c r="E15" s="60">
        <f>'Resumo dos cursos'!P14</f>
        <v>87</v>
      </c>
      <c r="F15" s="57">
        <f t="shared" si="0"/>
        <v>69.047619047619051</v>
      </c>
      <c r="G15" s="60">
        <f>'Resumo dos cursos'!R14</f>
        <v>4</v>
      </c>
      <c r="H15" s="60">
        <f>'Resumo dos cursos'!S14</f>
        <v>4</v>
      </c>
      <c r="I15" s="60">
        <f>'Resumo dos cursos'!T14</f>
        <v>9</v>
      </c>
      <c r="J15" s="91">
        <f>'Resumo dos cursos'!U14</f>
        <v>22</v>
      </c>
    </row>
    <row r="16" spans="1:10" ht="38.25" hidden="1" x14ac:dyDescent="0.25">
      <c r="A16" s="90" t="str">
        <f>IF('Controle adm. dos cursos'!H15=2021,'Controle adm. dos cursos'!D15," ")</f>
        <v>Conhecimentos Fundamentais para Gestores Municipais de Proteção e Defesa Civil</v>
      </c>
      <c r="B16" s="98" t="str">
        <f>'Controle adm. dos cursos'!G15</f>
        <v>Turma I 2021</v>
      </c>
      <c r="C16" s="60">
        <f>'Resumo dos cursos'!N15</f>
        <v>176</v>
      </c>
      <c r="D16" s="60">
        <f>'Resumo dos cursos'!O15</f>
        <v>176</v>
      </c>
      <c r="E16" s="60">
        <f>'Resumo dos cursos'!P15</f>
        <v>106</v>
      </c>
      <c r="F16" s="57">
        <f t="shared" si="0"/>
        <v>60.227272727272727</v>
      </c>
      <c r="G16" s="60">
        <f>'Resumo dos cursos'!R15</f>
        <v>1</v>
      </c>
      <c r="H16" s="60">
        <f>'Resumo dos cursos'!S15</f>
        <v>69</v>
      </c>
      <c r="I16" s="60">
        <f>'Resumo dos cursos'!T15</f>
        <v>0</v>
      </c>
      <c r="J16" s="91">
        <f>'Resumo dos cursos'!U15</f>
        <v>0</v>
      </c>
    </row>
    <row r="17" spans="1:10" hidden="1" x14ac:dyDescent="0.25">
      <c r="A17" s="90" t="str">
        <f>IF('Controle adm. dos cursos'!H16=2021,'Controle adm. dos cursos'!D16," ")</f>
        <v>Sistema de Comando de Incidentes</v>
      </c>
      <c r="B17" s="98" t="str">
        <f>'Controle adm. dos cursos'!G16</f>
        <v>Turma 5ª Divisão de Exército</v>
      </c>
      <c r="C17" s="60">
        <f>'Resumo dos cursos'!N16</f>
        <v>28</v>
      </c>
      <c r="D17" s="60">
        <f>'Resumo dos cursos'!O16</f>
        <v>28</v>
      </c>
      <c r="E17" s="60">
        <f>'Resumo dos cursos'!P16</f>
        <v>27</v>
      </c>
      <c r="F17" s="57">
        <f t="shared" si="0"/>
        <v>96.428571428571431</v>
      </c>
      <c r="G17" s="60">
        <f>'Resumo dos cursos'!R16</f>
        <v>1</v>
      </c>
      <c r="H17" s="60">
        <f>'Resumo dos cursos'!S16</f>
        <v>0</v>
      </c>
      <c r="I17" s="60">
        <f>'Resumo dos cursos'!T16</f>
        <v>0</v>
      </c>
      <c r="J17" s="91">
        <f>'Resumo dos cursos'!U16</f>
        <v>0</v>
      </c>
    </row>
    <row r="18" spans="1:10" ht="38.25" hidden="1" x14ac:dyDescent="0.25">
      <c r="A18" s="90" t="str">
        <f>IF('Controle adm. dos cursos'!H17=2021,'Controle adm. dos cursos'!D17," ")</f>
        <v>Conhecimentos Básicos para Integrantes da Rede Estadual de Emergência de Radioamadores</v>
      </c>
      <c r="B18" s="98" t="str">
        <f>'Controle adm. dos cursos'!G17</f>
        <v>Turma II 2021</v>
      </c>
      <c r="C18" s="60">
        <f>'Resumo dos cursos'!N17</f>
        <v>40</v>
      </c>
      <c r="D18" s="60">
        <f>'Resumo dos cursos'!O17</f>
        <v>40</v>
      </c>
      <c r="E18" s="60">
        <f>'Resumo dos cursos'!P17</f>
        <v>12</v>
      </c>
      <c r="F18" s="57">
        <f t="shared" si="0"/>
        <v>30</v>
      </c>
      <c r="G18" s="60">
        <f>'Resumo dos cursos'!R17</f>
        <v>4</v>
      </c>
      <c r="H18" s="60">
        <f>'Resumo dos cursos'!S17</f>
        <v>2</v>
      </c>
      <c r="I18" s="60">
        <f>'Resumo dos cursos'!T17</f>
        <v>0</v>
      </c>
      <c r="J18" s="91">
        <f>'Resumo dos cursos'!U17</f>
        <v>22</v>
      </c>
    </row>
    <row r="19" spans="1:10" ht="38.25" hidden="1" x14ac:dyDescent="0.25">
      <c r="A19" s="90" t="str">
        <f>IF('Controle adm. dos cursos'!H18=2021,'Controle adm. dos cursos'!D18," ")</f>
        <v>Conhecimentos Fundamentais para Gestores Municipais de Proteção e Defesa Civil</v>
      </c>
      <c r="B19" s="98" t="str">
        <f>'Controle adm. dos cursos'!G18</f>
        <v>Turma II 2021</v>
      </c>
      <c r="C19" s="60">
        <f>'Resumo dos cursos'!N18</f>
        <v>34</v>
      </c>
      <c r="D19" s="60">
        <f>'Resumo dos cursos'!O18</f>
        <v>34</v>
      </c>
      <c r="E19" s="60">
        <f>'Resumo dos cursos'!P18</f>
        <v>22</v>
      </c>
      <c r="F19" s="57">
        <f t="shared" si="0"/>
        <v>64.705882352941174</v>
      </c>
      <c r="G19" s="60">
        <f>'Resumo dos cursos'!R18</f>
        <v>1</v>
      </c>
      <c r="H19" s="60">
        <f>'Resumo dos cursos'!S18</f>
        <v>0</v>
      </c>
      <c r="I19" s="60">
        <f>'Resumo dos cursos'!T18</f>
        <v>11</v>
      </c>
      <c r="J19" s="91">
        <f>'Resumo dos cursos'!U18</f>
        <v>0</v>
      </c>
    </row>
    <row r="20" spans="1:10" hidden="1" x14ac:dyDescent="0.25">
      <c r="A20" s="99" t="str">
        <f>IF('Controle adm. dos cursos'!H19=2021,'Controle adm. dos cursos'!D19," ")</f>
        <v>Sistema de Comando de Incidentes</v>
      </c>
      <c r="B20" s="115" t="str">
        <f>'Controle adm. dos cursos'!G19</f>
        <v>Turma COSMO  2021</v>
      </c>
      <c r="C20" s="103">
        <f>'Resumo dos cursos'!N19</f>
        <v>48</v>
      </c>
      <c r="D20" s="103">
        <f>'Resumo dos cursos'!O19</f>
        <v>48</v>
      </c>
      <c r="E20" s="103">
        <f>'Resumo dos cursos'!P19</f>
        <v>26</v>
      </c>
      <c r="F20" s="104">
        <f t="shared" si="0"/>
        <v>54.166666666666664</v>
      </c>
      <c r="G20" s="103">
        <f>'Resumo dos cursos'!R19</f>
        <v>5</v>
      </c>
      <c r="H20" s="103">
        <f>'Resumo dos cursos'!S19</f>
        <v>5</v>
      </c>
      <c r="I20" s="103">
        <f>'Resumo dos cursos'!T19</f>
        <v>12</v>
      </c>
      <c r="J20" s="105">
        <f>'Resumo dos cursos'!U19</f>
        <v>0</v>
      </c>
    </row>
    <row r="21" spans="1:10" ht="25.5" hidden="1" x14ac:dyDescent="0.25">
      <c r="A21" s="88" t="str">
        <f>IF('Controle adm. dos cursos'!H20=2022,'Controle adm. dos cursos'!D20," ")</f>
        <v>Atendimento a Emergências com Produtos Perigosos</v>
      </c>
      <c r="B21" s="116" t="str">
        <f>'Controle adm. dos cursos'!G20</f>
        <v>Turma I 2022</v>
      </c>
      <c r="C21" s="55">
        <f>'Resumo dos cursos'!N20</f>
        <v>54</v>
      </c>
      <c r="D21" s="55">
        <f>'Resumo dos cursos'!O20</f>
        <v>54</v>
      </c>
      <c r="E21" s="55">
        <f>'Resumo dos cursos'!P20</f>
        <v>33</v>
      </c>
      <c r="F21" s="106">
        <f t="shared" si="0"/>
        <v>61.111111111111114</v>
      </c>
      <c r="G21" s="55">
        <f>'Resumo dos cursos'!R20</f>
        <v>0</v>
      </c>
      <c r="H21" s="55">
        <f>'Resumo dos cursos'!S20</f>
        <v>8</v>
      </c>
      <c r="I21" s="55">
        <f>'Resumo dos cursos'!T20</f>
        <v>13</v>
      </c>
      <c r="J21" s="89">
        <f>'Resumo dos cursos'!U20</f>
        <v>0</v>
      </c>
    </row>
    <row r="22" spans="1:10" ht="14.25" hidden="1" customHeight="1" x14ac:dyDescent="0.25">
      <c r="A22" s="90" t="str">
        <f>IF('Controle adm. dos cursos'!H21=2022,'Controle adm. dos cursos'!D21," ")</f>
        <v>Sistema de Comando de Incidentes</v>
      </c>
      <c r="B22" s="98" t="str">
        <f>'Controle adm. dos cursos'!G21</f>
        <v>Turma: IMUV</v>
      </c>
      <c r="C22" s="60">
        <f>'Resumo dos cursos'!N21</f>
        <v>297</v>
      </c>
      <c r="D22" s="60">
        <f>'Resumo dos cursos'!O21</f>
        <v>297</v>
      </c>
      <c r="E22" s="60">
        <f>'Resumo dos cursos'!P21</f>
        <v>57</v>
      </c>
      <c r="F22" s="57">
        <f t="shared" si="0"/>
        <v>19.19191919191919</v>
      </c>
      <c r="G22" s="60">
        <f>'Resumo dos cursos'!R21</f>
        <v>8</v>
      </c>
      <c r="H22" s="60">
        <f>'Resumo dos cursos'!S21</f>
        <v>6</v>
      </c>
      <c r="I22" s="60">
        <f>'Resumo dos cursos'!T21</f>
        <v>26</v>
      </c>
      <c r="J22" s="91">
        <f>'Resumo dos cursos'!U21</f>
        <v>200</v>
      </c>
    </row>
    <row r="23" spans="1:10" ht="25.5" hidden="1" customHeight="1" x14ac:dyDescent="0.25">
      <c r="A23" s="90" t="str">
        <f>IF('Controle adm. dos cursos'!H22=2022,'Controle adm. dos cursos'!D22," ")</f>
        <v>Curso de Prevenção e Combate a Incêndios Florestais</v>
      </c>
      <c r="B23" s="98" t="str">
        <f>'Controle adm. dos cursos'!G22</f>
        <v>TURMA Vila Velha</v>
      </c>
      <c r="C23" s="60">
        <f>'Resumo dos cursos'!N22</f>
        <v>36</v>
      </c>
      <c r="D23" s="60">
        <f>'Resumo dos cursos'!O22</f>
        <v>36</v>
      </c>
      <c r="E23" s="60">
        <f>'Resumo dos cursos'!P22</f>
        <v>36</v>
      </c>
      <c r="F23" s="57">
        <f t="shared" si="0"/>
        <v>100</v>
      </c>
      <c r="G23" s="60">
        <f>'Resumo dos cursos'!R22</f>
        <v>0</v>
      </c>
      <c r="H23" s="60">
        <f>'Resumo dos cursos'!S22</f>
        <v>0</v>
      </c>
      <c r="I23" s="60">
        <f>'Resumo dos cursos'!T22</f>
        <v>0</v>
      </c>
      <c r="J23" s="91">
        <f>'Resumo dos cursos'!U22</f>
        <v>0</v>
      </c>
    </row>
    <row r="24" spans="1:10" hidden="1" x14ac:dyDescent="0.25">
      <c r="A24" s="90" t="str">
        <f>IF('Controle adm. dos cursos'!H23=2022,'Controle adm. dos cursos'!D23," ")</f>
        <v>Sistema de Comando de Incidentes</v>
      </c>
      <c r="B24" s="98" t="str">
        <f>'Controle adm. dos cursos'!G23</f>
        <v>Turma I Orgãos de Apoio CEDEC</v>
      </c>
      <c r="C24" s="60">
        <f>'Resumo dos cursos'!N23</f>
        <v>185</v>
      </c>
      <c r="D24" s="60">
        <f>'Resumo dos cursos'!O23</f>
        <v>185</v>
      </c>
      <c r="E24" s="60">
        <f>'Resumo dos cursos'!P23</f>
        <v>120</v>
      </c>
      <c r="F24" s="57">
        <f t="shared" si="0"/>
        <v>64.86486486486487</v>
      </c>
      <c r="G24" s="60">
        <f>'Resumo dos cursos'!R23</f>
        <v>12</v>
      </c>
      <c r="H24" s="60">
        <f>'Resumo dos cursos'!S23</f>
        <v>10</v>
      </c>
      <c r="I24" s="60">
        <f>'Resumo dos cursos'!T23</f>
        <v>43</v>
      </c>
      <c r="J24" s="91">
        <f>'Resumo dos cursos'!U23</f>
        <v>0</v>
      </c>
    </row>
    <row r="25" spans="1:10" ht="38.25" hidden="1" x14ac:dyDescent="0.25">
      <c r="A25" s="90" t="str">
        <f>IF('Controle adm. dos cursos'!H24=2022,'Controle adm. dos cursos'!D24," ")</f>
        <v>Conhecimentos Fundamentais para Gestores Municipais de Proteção e Defesa Civil</v>
      </c>
      <c r="B25" s="98" t="str">
        <f>'Controle adm. dos cursos'!G24</f>
        <v>Turma I 2022</v>
      </c>
      <c r="C25" s="60">
        <f>'Resumo dos cursos'!N24</f>
        <v>40</v>
      </c>
      <c r="D25" s="60">
        <f>'Resumo dos cursos'!O24</f>
        <v>40</v>
      </c>
      <c r="E25" s="60">
        <f>'Resumo dos cursos'!P24</f>
        <v>24</v>
      </c>
      <c r="F25" s="57">
        <f t="shared" si="0"/>
        <v>60</v>
      </c>
      <c r="G25" s="60">
        <f>'Resumo dos cursos'!R24</f>
        <v>2</v>
      </c>
      <c r="H25" s="60">
        <f>'Resumo dos cursos'!S24</f>
        <v>0</v>
      </c>
      <c r="I25" s="60">
        <f>'Resumo dos cursos'!T24</f>
        <v>14</v>
      </c>
      <c r="J25" s="91">
        <f>'Resumo dos cursos'!U24</f>
        <v>0</v>
      </c>
    </row>
    <row r="26" spans="1:10" ht="14.25" hidden="1" customHeight="1" x14ac:dyDescent="0.25">
      <c r="A26" s="90" t="str">
        <f>IF('Controle adm. dos cursos'!H25=2022,'Controle adm. dos cursos'!D25," ")</f>
        <v>Sistema de Comando de Incidentes</v>
      </c>
      <c r="B26" s="98" t="str">
        <f>'Controle adm. dos cursos'!G25</f>
        <v>Turma MT</v>
      </c>
      <c r="C26" s="60">
        <f>'Resumo dos cursos'!N25</f>
        <v>177</v>
      </c>
      <c r="D26" s="60">
        <f>'Resumo dos cursos'!O25</f>
        <v>177</v>
      </c>
      <c r="E26" s="60">
        <f>'Resumo dos cursos'!P25</f>
        <v>155</v>
      </c>
      <c r="F26" s="57">
        <f t="shared" si="0"/>
        <v>87.570621468926561</v>
      </c>
      <c r="G26" s="60">
        <f>'Resumo dos cursos'!R25</f>
        <v>4</v>
      </c>
      <c r="H26" s="60">
        <f>'Resumo dos cursos'!S25</f>
        <v>2</v>
      </c>
      <c r="I26" s="60">
        <f>'Resumo dos cursos'!T25</f>
        <v>15</v>
      </c>
      <c r="J26" s="91">
        <f>'Resumo dos cursos'!U25</f>
        <v>1</v>
      </c>
    </row>
    <row r="27" spans="1:10" ht="25.5" hidden="1" x14ac:dyDescent="0.25">
      <c r="A27" s="90" t="str">
        <f>IF('Controle adm. dos cursos'!H26=2022,'Controle adm. dos cursos'!D26," ")</f>
        <v>RISCOS E DESASTRES: conhecimentos fundamentais</v>
      </c>
      <c r="B27" s="98" t="str">
        <f>'Controle adm. dos cursos'!G26</f>
        <v>Turma I 2022</v>
      </c>
      <c r="C27" s="60">
        <f>'Resumo dos cursos'!N26</f>
        <v>86</v>
      </c>
      <c r="D27" s="60">
        <f>'Resumo dos cursos'!O26</f>
        <v>86</v>
      </c>
      <c r="E27" s="60">
        <f>'Resumo dos cursos'!P26</f>
        <v>55</v>
      </c>
      <c r="F27" s="57">
        <f t="shared" si="0"/>
        <v>63.953488372093027</v>
      </c>
      <c r="G27" s="60">
        <f>'Resumo dos cursos'!R26</f>
        <v>5</v>
      </c>
      <c r="H27" s="60">
        <f>'Resumo dos cursos'!S26</f>
        <v>8</v>
      </c>
      <c r="I27" s="60">
        <f>'Resumo dos cursos'!T26</f>
        <v>16</v>
      </c>
      <c r="J27" s="91">
        <f>'Resumo dos cursos'!U26</f>
        <v>2</v>
      </c>
    </row>
    <row r="28" spans="1:10" ht="38.25" hidden="1" x14ac:dyDescent="0.25">
      <c r="A28" s="90" t="str">
        <f>IF('Controle adm. dos cursos'!H27=2022,'Controle adm. dos cursos'!D27," ")</f>
        <v>Conhecimentos Fundamentais para Gestores Municipais de Proteção e Defesa Civil</v>
      </c>
      <c r="B28" s="98" t="str">
        <f>'Controle adm. dos cursos'!G27</f>
        <v>Turma II 2022</v>
      </c>
      <c r="C28" s="60">
        <f>'Resumo dos cursos'!N27</f>
        <v>30</v>
      </c>
      <c r="D28" s="60">
        <f>'Resumo dos cursos'!O27</f>
        <v>30</v>
      </c>
      <c r="E28" s="60">
        <f>'Resumo dos cursos'!P27</f>
        <v>22</v>
      </c>
      <c r="F28" s="57">
        <f t="shared" si="0"/>
        <v>73.333333333333329</v>
      </c>
      <c r="G28" s="60">
        <f>'Resumo dos cursos'!R27</f>
        <v>1</v>
      </c>
      <c r="H28" s="60">
        <f>'Resumo dos cursos'!S27</f>
        <v>0</v>
      </c>
      <c r="I28" s="60">
        <f>'Resumo dos cursos'!T27</f>
        <v>7</v>
      </c>
      <c r="J28" s="91">
        <f>'Resumo dos cursos'!U27</f>
        <v>0</v>
      </c>
    </row>
    <row r="29" spans="1:10" ht="25.5" hidden="1" x14ac:dyDescent="0.25">
      <c r="A29" s="90" t="str">
        <f>IF('Controle adm. dos cursos'!H28=2022,'Controle adm. dos cursos'!D28," ")</f>
        <v>Curso de Prevenção e Combate a Incêndios Florestais</v>
      </c>
      <c r="B29" s="98" t="str">
        <f>'Controle adm. dos cursos'!G28</f>
        <v>TURMA Floresta Metropolitana</v>
      </c>
      <c r="C29" s="60">
        <f>'Resumo dos cursos'!N28</f>
        <v>32</v>
      </c>
      <c r="D29" s="60">
        <f>'Resumo dos cursos'!O28</f>
        <v>32</v>
      </c>
      <c r="E29" s="60">
        <f>'Resumo dos cursos'!P28</f>
        <v>32</v>
      </c>
      <c r="F29" s="57">
        <f t="shared" si="0"/>
        <v>100</v>
      </c>
      <c r="G29" s="60">
        <f>'Resumo dos cursos'!R28</f>
        <v>0</v>
      </c>
      <c r="H29" s="60">
        <f>'Resumo dos cursos'!S28</f>
        <v>0</v>
      </c>
      <c r="I29" s="60">
        <f>'Resumo dos cursos'!T28</f>
        <v>0</v>
      </c>
      <c r="J29" s="91">
        <f>'Resumo dos cursos'!U28</f>
        <v>0</v>
      </c>
    </row>
    <row r="30" spans="1:10" ht="38.25" hidden="1" x14ac:dyDescent="0.25">
      <c r="A30" s="90" t="str">
        <f>IF('Controle adm. dos cursos'!H29=2022,'Controle adm. dos cursos'!D29," ")</f>
        <v>Conhecimentos Básicos para Integrantes da Rede Estadual de Emergência de Radioamadores</v>
      </c>
      <c r="B30" s="98" t="str">
        <f>'Controle adm. dos cursos'!G29</f>
        <v>Turma I 2022</v>
      </c>
      <c r="C30" s="60">
        <f>'Resumo dos cursos'!N29</f>
        <v>22</v>
      </c>
      <c r="D30" s="60">
        <f>'Resumo dos cursos'!O29</f>
        <v>22</v>
      </c>
      <c r="E30" s="60">
        <f>'Resumo dos cursos'!P29</f>
        <v>18</v>
      </c>
      <c r="F30" s="57">
        <f t="shared" si="0"/>
        <v>81.818181818181813</v>
      </c>
      <c r="G30" s="60">
        <f>'Resumo dos cursos'!R29</f>
        <v>2</v>
      </c>
      <c r="H30" s="60">
        <f>'Resumo dos cursos'!S29</f>
        <v>0</v>
      </c>
      <c r="I30" s="60">
        <f>'Resumo dos cursos'!T29</f>
        <v>2</v>
      </c>
      <c r="J30" s="91">
        <f>'Resumo dos cursos'!U29</f>
        <v>0</v>
      </c>
    </row>
    <row r="31" spans="1:10" ht="14.25" hidden="1" customHeight="1" x14ac:dyDescent="0.25">
      <c r="A31" s="90" t="str">
        <f>IF('Controle adm. dos cursos'!H30=2022,'Controle adm. dos cursos'!D30," ")</f>
        <v>Sistema de Comando de Incidentes</v>
      </c>
      <c r="B31" s="98" t="str">
        <f>'Controle adm. dos cursos'!G30</f>
        <v>Turma I 2022</v>
      </c>
      <c r="C31" s="60">
        <f>'Resumo dos cursos'!N30</f>
        <v>98</v>
      </c>
      <c r="D31" s="60">
        <f>'Resumo dos cursos'!O30</f>
        <v>98</v>
      </c>
      <c r="E31" s="60">
        <f>'Resumo dos cursos'!P30</f>
        <v>60</v>
      </c>
      <c r="F31" s="57">
        <f t="shared" si="0"/>
        <v>61.224489795918366</v>
      </c>
      <c r="G31" s="60">
        <f>'Resumo dos cursos'!R30</f>
        <v>7</v>
      </c>
      <c r="H31" s="60">
        <f>'Resumo dos cursos'!S30</f>
        <v>2</v>
      </c>
      <c r="I31" s="60">
        <f>'Resumo dos cursos'!T30</f>
        <v>29</v>
      </c>
      <c r="J31" s="91">
        <f>'Resumo dos cursos'!U30</f>
        <v>0</v>
      </c>
    </row>
    <row r="32" spans="1:10" ht="22.5" hidden="1" customHeight="1" x14ac:dyDescent="0.25">
      <c r="A32" s="90" t="str">
        <f>IF('Controle adm. dos cursos'!H31=2022,'Controle adm. dos cursos'!D31," ")</f>
        <v>Sistema de Comando de Incidentes</v>
      </c>
      <c r="B32" s="98" t="str">
        <f>'Controle adm. dos cursos'!G31</f>
        <v>Turma AGRO-SET</v>
      </c>
      <c r="C32" s="60">
        <f>'Resumo dos cursos'!N31</f>
        <v>176</v>
      </c>
      <c r="D32" s="60">
        <f>'Resumo dos cursos'!O31</f>
        <v>176</v>
      </c>
      <c r="E32" s="60">
        <f>'Resumo dos cursos'!P31</f>
        <v>142</v>
      </c>
      <c r="F32" s="57">
        <f t="shared" si="0"/>
        <v>80.681818181818187</v>
      </c>
      <c r="G32" s="60">
        <f>'Resumo dos cursos'!R31</f>
        <v>3</v>
      </c>
      <c r="H32" s="60">
        <f>'Resumo dos cursos'!S31</f>
        <v>7</v>
      </c>
      <c r="I32" s="60">
        <f>'Resumo dos cursos'!T31</f>
        <v>24</v>
      </c>
      <c r="J32" s="91">
        <f>'Resumo dos cursos'!U31</f>
        <v>0</v>
      </c>
    </row>
    <row r="33" spans="1:10" ht="25.5" hidden="1" customHeight="1" x14ac:dyDescent="0.25">
      <c r="A33" s="90" t="str">
        <f>IF('Controle adm. dos cursos'!H32=2022,'Controle adm. dos cursos'!D32," ")</f>
        <v>Atendimento de Emergências em Edificações</v>
      </c>
      <c r="B33" s="98" t="str">
        <f>'Controle adm. dos cursos'!G32</f>
        <v>Turma QCG</v>
      </c>
      <c r="C33" s="60">
        <f>'Resumo dos cursos'!N32</f>
        <v>782</v>
      </c>
      <c r="D33" s="60">
        <f>'Resumo dos cursos'!O32</f>
        <v>782</v>
      </c>
      <c r="E33" s="60">
        <f>'Resumo dos cursos'!P32</f>
        <v>681</v>
      </c>
      <c r="F33" s="57">
        <f t="shared" si="0"/>
        <v>87.084398976982101</v>
      </c>
      <c r="G33" s="60">
        <f>'Resumo dos cursos'!R32</f>
        <v>24</v>
      </c>
      <c r="H33" s="60">
        <f>'Resumo dos cursos'!S32</f>
        <v>23</v>
      </c>
      <c r="I33" s="60">
        <f>'Resumo dos cursos'!T32</f>
        <v>54</v>
      </c>
      <c r="J33" s="91">
        <f>'Resumo dos cursos'!U32</f>
        <v>0</v>
      </c>
    </row>
    <row r="34" spans="1:10" ht="25.5" hidden="1" x14ac:dyDescent="0.25">
      <c r="A34" s="90" t="str">
        <f>IF('Controle adm. dos cursos'!H33=2022,'Controle adm. dos cursos'!D33," ")</f>
        <v>RISCOS E DESASTRES: conhecimentos fundamentais</v>
      </c>
      <c r="B34" s="98" t="str">
        <f>'Controle adm. dos cursos'!G33</f>
        <v>Turma II 2022</v>
      </c>
      <c r="C34" s="60">
        <f>'Resumo dos cursos'!N33</f>
        <v>46</v>
      </c>
      <c r="D34" s="60">
        <f>'Resumo dos cursos'!O33</f>
        <v>46</v>
      </c>
      <c r="E34" s="60">
        <f>'Resumo dos cursos'!P33</f>
        <v>7</v>
      </c>
      <c r="F34" s="57">
        <f t="shared" si="0"/>
        <v>15.217391304347826</v>
      </c>
      <c r="G34" s="60">
        <f>'Resumo dos cursos'!R33</f>
        <v>1</v>
      </c>
      <c r="H34" s="60">
        <f>'Resumo dos cursos'!S33</f>
        <v>1</v>
      </c>
      <c r="I34" s="60">
        <f>'Resumo dos cursos'!T33</f>
        <v>37</v>
      </c>
      <c r="J34" s="91">
        <f>'Resumo dos cursos'!U33</f>
        <v>0</v>
      </c>
    </row>
    <row r="35" spans="1:10" hidden="1" x14ac:dyDescent="0.25">
      <c r="A35" s="90" t="str">
        <f>IF('Controle adm. dos cursos'!H34=2022,'Controle adm. dos cursos'!D34," ")</f>
        <v>Sistema de Comando de Incidentes</v>
      </c>
      <c r="B35" s="98" t="str">
        <f>'Controle adm. dos cursos'!G34</f>
        <v>Turma AGRO-OUT</v>
      </c>
      <c r="C35" s="60">
        <f>'Resumo dos cursos'!N34</f>
        <v>164</v>
      </c>
      <c r="D35" s="60">
        <f>'Resumo dos cursos'!O34</f>
        <v>164</v>
      </c>
      <c r="E35" s="60">
        <f>'Resumo dos cursos'!P34</f>
        <v>150</v>
      </c>
      <c r="F35" s="57">
        <f t="shared" si="0"/>
        <v>91.463414634146346</v>
      </c>
      <c r="G35" s="60">
        <f>'Resumo dos cursos'!R34</f>
        <v>4</v>
      </c>
      <c r="H35" s="60">
        <f>'Resumo dos cursos'!S34</f>
        <v>3</v>
      </c>
      <c r="I35" s="60">
        <f>'Resumo dos cursos'!T34</f>
        <v>7</v>
      </c>
      <c r="J35" s="91">
        <f>'Resumo dos cursos'!U34</f>
        <v>0</v>
      </c>
    </row>
    <row r="36" spans="1:10" ht="38.25" hidden="1" x14ac:dyDescent="0.25">
      <c r="A36" s="90" t="str">
        <f>IF('Controle adm. dos cursos'!H35=2023,'Controle adm. dos cursos'!D35," ")</f>
        <v>Conhecimentos Fundamentais para Gestores Municipais de Proteção e Defesa Civil</v>
      </c>
      <c r="B36" s="98" t="str">
        <f>'Controle adm. dos cursos'!G35</f>
        <v>Turma I 2023</v>
      </c>
      <c r="C36" s="60">
        <f>'Resumo dos cursos'!N35</f>
        <v>28</v>
      </c>
      <c r="D36" s="60">
        <f>'Resumo dos cursos'!O35</f>
        <v>28</v>
      </c>
      <c r="E36" s="60">
        <f>'Resumo dos cursos'!P35</f>
        <v>17</v>
      </c>
      <c r="F36" s="57">
        <f t="shared" ref="F36:F67" si="1">IFERROR(((E36*100)/D36),0)</f>
        <v>60.714285714285715</v>
      </c>
      <c r="G36" s="60">
        <f>'Resumo dos cursos'!R35</f>
        <v>0</v>
      </c>
      <c r="H36" s="60">
        <f>'Resumo dos cursos'!S35</f>
        <v>11</v>
      </c>
      <c r="I36" s="60">
        <f>'Resumo dos cursos'!T35</f>
        <v>0</v>
      </c>
      <c r="J36" s="91">
        <f>'Resumo dos cursos'!U35</f>
        <v>0</v>
      </c>
    </row>
    <row r="37" spans="1:10" ht="25.5" hidden="1" x14ac:dyDescent="0.25">
      <c r="A37" s="90" t="str">
        <f>IF('Controle adm. dos cursos'!H36=2023,'Controle adm. dos cursos'!D36," ")</f>
        <v>RISCOS E DESASTRES: conhecimentos fundamentais</v>
      </c>
      <c r="B37" s="98" t="str">
        <f>'Controle adm. dos cursos'!G36</f>
        <v>Turma I 2023</v>
      </c>
      <c r="C37" s="60">
        <f>'Resumo dos cursos'!N36</f>
        <v>67</v>
      </c>
      <c r="D37" s="60">
        <f>'Resumo dos cursos'!O36</f>
        <v>67</v>
      </c>
      <c r="E37" s="60">
        <f>'Resumo dos cursos'!P36</f>
        <v>26</v>
      </c>
      <c r="F37" s="57">
        <f t="shared" si="1"/>
        <v>38.805970149253731</v>
      </c>
      <c r="G37" s="60">
        <f>'Resumo dos cursos'!R36</f>
        <v>4</v>
      </c>
      <c r="H37" s="60">
        <f>'Resumo dos cursos'!S36</f>
        <v>5</v>
      </c>
      <c r="I37" s="60">
        <f>'Resumo dos cursos'!T36</f>
        <v>32</v>
      </c>
      <c r="J37" s="91">
        <f>'Resumo dos cursos'!U36</f>
        <v>0</v>
      </c>
    </row>
    <row r="38" spans="1:10" ht="25.5" hidden="1" x14ac:dyDescent="0.25">
      <c r="A38" s="90" t="str">
        <f>IF('Controle adm. dos cursos'!H37=2023,'Controle adm. dos cursos'!D37," ")</f>
        <v>Atendimento de Emergências em Edificações</v>
      </c>
      <c r="B38" s="98" t="str">
        <f>'Controle adm. dos cursos'!G37</f>
        <v>Turma SESP</v>
      </c>
      <c r="C38" s="60">
        <f>'Resumo dos cursos'!N37</f>
        <v>278</v>
      </c>
      <c r="D38" s="60">
        <f>'Resumo dos cursos'!O37</f>
        <v>278</v>
      </c>
      <c r="E38" s="60">
        <f>'Resumo dos cursos'!P37</f>
        <v>211</v>
      </c>
      <c r="F38" s="57">
        <f t="shared" si="1"/>
        <v>75.899280575539564</v>
      </c>
      <c r="G38" s="60">
        <f>'Resumo dos cursos'!R37</f>
        <v>34</v>
      </c>
      <c r="H38" s="60">
        <f>'Resumo dos cursos'!S37</f>
        <v>4</v>
      </c>
      <c r="I38" s="60">
        <f>'Resumo dos cursos'!T37</f>
        <v>29</v>
      </c>
      <c r="J38" s="91">
        <f>'Resumo dos cursos'!U37</f>
        <v>0</v>
      </c>
    </row>
    <row r="39" spans="1:10" hidden="1" x14ac:dyDescent="0.25">
      <c r="A39" s="90" t="str">
        <f>IF('Controle adm. dos cursos'!H38=2023,'Controle adm. dos cursos'!D38," ")</f>
        <v>Capacitação Presencial COMPDECs</v>
      </c>
      <c r="B39" s="98" t="str">
        <f>'Controle adm. dos cursos'!G38</f>
        <v>Telêmaco Borba e Ponta Grossa</v>
      </c>
      <c r="C39" s="60">
        <f>'Resumo dos cursos'!N38</f>
        <v>28</v>
      </c>
      <c r="D39" s="60">
        <f>'Resumo dos cursos'!O38</f>
        <v>28</v>
      </c>
      <c r="E39" s="60">
        <f>'Resumo dos cursos'!P38</f>
        <v>28</v>
      </c>
      <c r="F39" s="57">
        <f t="shared" si="1"/>
        <v>100</v>
      </c>
      <c r="G39" s="60">
        <f>'Resumo dos cursos'!R38</f>
        <v>0</v>
      </c>
      <c r="H39" s="60">
        <f>'Resumo dos cursos'!S38</f>
        <v>0</v>
      </c>
      <c r="I39" s="60">
        <f>'Resumo dos cursos'!T38</f>
        <v>0</v>
      </c>
      <c r="J39" s="91">
        <f>'Resumo dos cursos'!U38</f>
        <v>0</v>
      </c>
    </row>
    <row r="40" spans="1:10" ht="25.5" hidden="1" x14ac:dyDescent="0.25">
      <c r="A40" s="90" t="str">
        <f>IF('Controle adm. dos cursos'!H39=2023,'Controle adm. dos cursos'!D39," ")</f>
        <v>Atendimento a Emergências com Produtos Perigosos</v>
      </c>
      <c r="B40" s="98" t="str">
        <f>'Controle adm. dos cursos'!G39</f>
        <v>Turma I 2023</v>
      </c>
      <c r="C40" s="60">
        <f>'Resumo dos cursos'!N39</f>
        <v>311</v>
      </c>
      <c r="D40" s="60">
        <f>'Resumo dos cursos'!O39</f>
        <v>311</v>
      </c>
      <c r="E40" s="60">
        <f>'Resumo dos cursos'!P39</f>
        <v>162</v>
      </c>
      <c r="F40" s="57">
        <f t="shared" si="1"/>
        <v>52.09003215434084</v>
      </c>
      <c r="G40" s="60">
        <f>'Resumo dos cursos'!R39</f>
        <v>6</v>
      </c>
      <c r="H40" s="60">
        <f>'Resumo dos cursos'!S39</f>
        <v>23</v>
      </c>
      <c r="I40" s="60">
        <f>'Resumo dos cursos'!T39</f>
        <v>120</v>
      </c>
      <c r="J40" s="91">
        <f>'Resumo dos cursos'!U39</f>
        <v>0</v>
      </c>
    </row>
    <row r="41" spans="1:10" ht="38.25" hidden="1" x14ac:dyDescent="0.25">
      <c r="A41" s="90" t="str">
        <f>IF('Controle adm. dos cursos'!H40=2023,'Controle adm. dos cursos'!D40," ")</f>
        <v>Conhecimentos Fundamentais para Gestores Municipais de Proteção e Defesa Civil</v>
      </c>
      <c r="B41" s="98" t="str">
        <f>'Controle adm. dos cursos'!G40</f>
        <v>Turma II 2023</v>
      </c>
      <c r="C41" s="60">
        <f>'Resumo dos cursos'!N40</f>
        <v>24</v>
      </c>
      <c r="D41" s="60">
        <f>'Resumo dos cursos'!O40</f>
        <v>24</v>
      </c>
      <c r="E41" s="60">
        <f>'Resumo dos cursos'!P40</f>
        <v>13</v>
      </c>
      <c r="F41" s="57">
        <f t="shared" si="1"/>
        <v>54.166666666666664</v>
      </c>
      <c r="G41" s="60">
        <f>'Resumo dos cursos'!R40</f>
        <v>0</v>
      </c>
      <c r="H41" s="60">
        <f>'Resumo dos cursos'!S40</f>
        <v>11</v>
      </c>
      <c r="I41" s="60">
        <f>'Resumo dos cursos'!T40</f>
        <v>0</v>
      </c>
      <c r="J41" s="91">
        <f>'Resumo dos cursos'!U40</f>
        <v>0</v>
      </c>
    </row>
    <row r="42" spans="1:10" ht="25.5" hidden="1" x14ac:dyDescent="0.25">
      <c r="A42" s="90" t="str">
        <f>IF('Controle adm. dos cursos'!H41=2023,'Controle adm. dos cursos'!D41," ")</f>
        <v>Formação de Brigadistas Escolares e Monitores de Segurança</v>
      </c>
      <c r="B42" s="98" t="str">
        <f>'Controle adm. dos cursos'!G41</f>
        <v>Turma I 2023</v>
      </c>
      <c r="C42" s="61">
        <f>'Resumo dos cursos'!N41</f>
        <v>13955</v>
      </c>
      <c r="D42" s="61">
        <f>'Resumo dos cursos'!O41</f>
        <v>13955</v>
      </c>
      <c r="E42" s="61">
        <f>'Resumo dos cursos'!P41</f>
        <v>11098</v>
      </c>
      <c r="F42" s="57">
        <f t="shared" si="1"/>
        <v>79.527051236116094</v>
      </c>
      <c r="G42" s="61">
        <f>'Resumo dos cursos'!R41</f>
        <v>872</v>
      </c>
      <c r="H42" s="61">
        <f>'Resumo dos cursos'!S41</f>
        <v>619</v>
      </c>
      <c r="I42" s="61">
        <f>'Resumo dos cursos'!T41</f>
        <v>1366</v>
      </c>
      <c r="J42" s="62">
        <f>'Resumo dos cursos'!U41</f>
        <v>0</v>
      </c>
    </row>
    <row r="43" spans="1:10" hidden="1" x14ac:dyDescent="0.25">
      <c r="A43" s="90" t="str">
        <f>IF('Controle adm. dos cursos'!H42=2023,'Controle adm. dos cursos'!D42," ")</f>
        <v>Capacitação Presencial COMPDECs</v>
      </c>
      <c r="B43" s="98" t="str">
        <f>'Controle adm. dos cursos'!G42</f>
        <v>Umuarama</v>
      </c>
      <c r="C43" s="60">
        <f>'Resumo dos cursos'!N42</f>
        <v>12</v>
      </c>
      <c r="D43" s="60">
        <f>'Resumo dos cursos'!O42</f>
        <v>12</v>
      </c>
      <c r="E43" s="60">
        <f>'Resumo dos cursos'!P42</f>
        <v>12</v>
      </c>
      <c r="F43" s="57">
        <f t="shared" si="1"/>
        <v>100</v>
      </c>
      <c r="G43" s="60">
        <f>'Resumo dos cursos'!R42</f>
        <v>0</v>
      </c>
      <c r="H43" s="60">
        <f>'Resumo dos cursos'!S42</f>
        <v>0</v>
      </c>
      <c r="I43" s="60">
        <f>'Resumo dos cursos'!T42</f>
        <v>0</v>
      </c>
      <c r="J43" s="91">
        <f>'Resumo dos cursos'!U42</f>
        <v>0</v>
      </c>
    </row>
    <row r="44" spans="1:10" ht="25.5" hidden="1" x14ac:dyDescent="0.25">
      <c r="A44" s="90" t="str">
        <f>IF('Controle adm. dos cursos'!H43=2023,'Controle adm. dos cursos'!D43," ")</f>
        <v>Capacitação em Brigadistas Civis Voluntários</v>
      </c>
      <c r="B44" s="98" t="str">
        <f>'Controle adm. dos cursos'!G43</f>
        <v>Turma I 2023</v>
      </c>
      <c r="C44" s="60">
        <f>'Resumo dos cursos'!N43</f>
        <v>318</v>
      </c>
      <c r="D44" s="60">
        <f>'Resumo dos cursos'!O43</f>
        <v>318</v>
      </c>
      <c r="E44" s="60">
        <f>'Resumo dos cursos'!P43</f>
        <v>64</v>
      </c>
      <c r="F44" s="57">
        <f t="shared" si="1"/>
        <v>20.125786163522012</v>
      </c>
      <c r="G44" s="60">
        <f>'Resumo dos cursos'!R43</f>
        <v>7</v>
      </c>
      <c r="H44" s="60">
        <f>'Resumo dos cursos'!S43</f>
        <v>146</v>
      </c>
      <c r="I44" s="60">
        <f>'Resumo dos cursos'!T43</f>
        <v>101</v>
      </c>
      <c r="J44" s="91">
        <f>'Resumo dos cursos'!U43</f>
        <v>0</v>
      </c>
    </row>
    <row r="45" spans="1:10" hidden="1" x14ac:dyDescent="0.25">
      <c r="A45" s="90" t="str">
        <f>IF('Controle adm. dos cursos'!H44=2023,'Controle adm. dos cursos'!D44," ")</f>
        <v>Capacitação Presencial COMPDECs</v>
      </c>
      <c r="B45" s="98" t="str">
        <f>'Controle adm. dos cursos'!G44</f>
        <v>Francisco Beltrão</v>
      </c>
      <c r="C45" s="60">
        <f>'Resumo dos cursos'!N44</f>
        <v>11</v>
      </c>
      <c r="D45" s="60">
        <f>'Resumo dos cursos'!O44</f>
        <v>11</v>
      </c>
      <c r="E45" s="60">
        <f>'Resumo dos cursos'!P44</f>
        <v>11</v>
      </c>
      <c r="F45" s="57">
        <f t="shared" si="1"/>
        <v>100</v>
      </c>
      <c r="G45" s="60">
        <f>'Resumo dos cursos'!R44</f>
        <v>0</v>
      </c>
      <c r="H45" s="60">
        <f>'Resumo dos cursos'!S44</f>
        <v>0</v>
      </c>
      <c r="I45" s="60">
        <f>'Resumo dos cursos'!T44</f>
        <v>0</v>
      </c>
      <c r="J45" s="91">
        <f>'Resumo dos cursos'!U44</f>
        <v>0</v>
      </c>
    </row>
    <row r="46" spans="1:10" ht="38.25" hidden="1" x14ac:dyDescent="0.25">
      <c r="A46" s="90" t="str">
        <f>IF('Controle adm. dos cursos'!H45=2023,'Controle adm. dos cursos'!D45," ")</f>
        <v>Conhecimentos Básicos para Integrantes da Rede Estadual de Emergência de Radioamadores</v>
      </c>
      <c r="B46" s="98" t="str">
        <f>'Controle adm. dos cursos'!G45</f>
        <v>Turma I 2023</v>
      </c>
      <c r="C46" s="60">
        <f>'Resumo dos cursos'!N45</f>
        <v>55</v>
      </c>
      <c r="D46" s="60">
        <f>'Resumo dos cursos'!O45</f>
        <v>55</v>
      </c>
      <c r="E46" s="60">
        <f>'Resumo dos cursos'!P45</f>
        <v>42</v>
      </c>
      <c r="F46" s="57">
        <f t="shared" si="1"/>
        <v>76.36363636363636</v>
      </c>
      <c r="G46" s="60">
        <f>'Resumo dos cursos'!R45</f>
        <v>3</v>
      </c>
      <c r="H46" s="60">
        <f>'Resumo dos cursos'!S45</f>
        <v>0</v>
      </c>
      <c r="I46" s="60">
        <f>'Resumo dos cursos'!T45</f>
        <v>10</v>
      </c>
      <c r="J46" s="91">
        <f>'Resumo dos cursos'!U45</f>
        <v>0</v>
      </c>
    </row>
    <row r="47" spans="1:10" hidden="1" x14ac:dyDescent="0.25">
      <c r="A47" s="90" t="str">
        <f>IF('Controle adm. dos cursos'!H48=2023,'Controle adm. dos cursos'!D48," ")</f>
        <v>Capacitação Presencial COMPDECs</v>
      </c>
      <c r="B47" s="98" t="str">
        <f>'Controle adm. dos cursos'!G48</f>
        <v>Paranavaí</v>
      </c>
      <c r="C47" s="60">
        <f>'Resumo dos cursos'!N50</f>
        <v>1</v>
      </c>
      <c r="D47" s="60">
        <f>'Resumo dos cursos'!O50</f>
        <v>1</v>
      </c>
      <c r="E47" s="60">
        <f>'Resumo dos cursos'!P50</f>
        <v>0</v>
      </c>
      <c r="F47" s="57">
        <f t="shared" si="1"/>
        <v>0</v>
      </c>
      <c r="G47" s="60">
        <f>'Resumo dos cursos'!R50</f>
        <v>0</v>
      </c>
      <c r="H47" s="60">
        <f>'Resumo dos cursos'!S50</f>
        <v>0</v>
      </c>
      <c r="I47" s="60">
        <f>'Resumo dos cursos'!T50</f>
        <v>0</v>
      </c>
      <c r="J47" s="91">
        <f>'Resumo dos cursos'!U50</f>
        <v>0</v>
      </c>
    </row>
    <row r="48" spans="1:10" ht="25.5" hidden="1" x14ac:dyDescent="0.25">
      <c r="A48" s="90" t="str">
        <f>IF('Controle adm. dos cursos'!H49=2023,'Controle adm. dos cursos'!D49," ")</f>
        <v>RISCOS E DESASTRES: conhecimentos fundamentais</v>
      </c>
      <c r="B48" s="98" t="str">
        <f>'Controle adm. dos cursos'!G49</f>
        <v>Turma II 2023</v>
      </c>
      <c r="C48" s="60">
        <f>'Resumo dos cursos'!N51</f>
        <v>159</v>
      </c>
      <c r="D48" s="60">
        <f>'Resumo dos cursos'!O51</f>
        <v>159</v>
      </c>
      <c r="E48" s="60">
        <f>'Resumo dos cursos'!P51</f>
        <v>83</v>
      </c>
      <c r="F48" s="57">
        <f t="shared" si="1"/>
        <v>52.20125786163522</v>
      </c>
      <c r="G48" s="60">
        <f>'Resumo dos cursos'!R51</f>
        <v>3</v>
      </c>
      <c r="H48" s="60">
        <f>'Resumo dos cursos'!S51</f>
        <v>2</v>
      </c>
      <c r="I48" s="60">
        <f>'Resumo dos cursos'!T51</f>
        <v>71</v>
      </c>
      <c r="J48" s="91">
        <f>'Resumo dos cursos'!U51</f>
        <v>0</v>
      </c>
    </row>
    <row r="49" spans="1:10" ht="25.5" hidden="1" x14ac:dyDescent="0.25">
      <c r="A49" s="90" t="str">
        <f>IF('Controle adm. dos cursos'!H50=2023,'Controle adm. dos cursos'!D50," ")</f>
        <v>Capacitação em Brigadistas Civis Voluntários</v>
      </c>
      <c r="B49" s="98" t="str">
        <f>'Controle adm. dos cursos'!G50</f>
        <v>TURMA - Ponta Grossa 2023</v>
      </c>
      <c r="C49" s="60">
        <f>'Resumo dos cursos'!N52</f>
        <v>80</v>
      </c>
      <c r="D49" s="60">
        <f>'Resumo dos cursos'!O52</f>
        <v>80</v>
      </c>
      <c r="E49" s="60">
        <f>'Resumo dos cursos'!P52</f>
        <v>24</v>
      </c>
      <c r="F49" s="57">
        <f t="shared" si="1"/>
        <v>30</v>
      </c>
      <c r="G49" s="60">
        <f>'Resumo dos cursos'!R52</f>
        <v>5</v>
      </c>
      <c r="H49" s="60">
        <f>'Resumo dos cursos'!S52</f>
        <v>10</v>
      </c>
      <c r="I49" s="60">
        <f>'Resumo dos cursos'!T52</f>
        <v>41</v>
      </c>
      <c r="J49" s="91">
        <f>'Resumo dos cursos'!U52</f>
        <v>0</v>
      </c>
    </row>
    <row r="50" spans="1:10" ht="25.5" hidden="1" x14ac:dyDescent="0.25">
      <c r="A50" s="90" t="str">
        <f>IF('Controle adm. dos cursos'!H51=2023,'Controle adm. dos cursos'!D51," ")</f>
        <v>Segurança de Barragens - Anomalias e Boas Práticas</v>
      </c>
      <c r="B50" s="98" t="str">
        <f>'Controle adm. dos cursos'!G51</f>
        <v>Turma I 2023</v>
      </c>
      <c r="C50" s="60">
        <f>'Resumo dos cursos'!N53</f>
        <v>66</v>
      </c>
      <c r="D50" s="60">
        <f>'Resumo dos cursos'!O53</f>
        <v>66</v>
      </c>
      <c r="E50" s="60">
        <f>'Resumo dos cursos'!P53</f>
        <v>46</v>
      </c>
      <c r="F50" s="57">
        <f t="shared" si="1"/>
        <v>69.696969696969703</v>
      </c>
      <c r="G50" s="60">
        <f>'Resumo dos cursos'!R53</f>
        <v>3</v>
      </c>
      <c r="H50" s="60">
        <f>'Resumo dos cursos'!S53</f>
        <v>0</v>
      </c>
      <c r="I50" s="60">
        <f>'Resumo dos cursos'!T53</f>
        <v>17</v>
      </c>
      <c r="J50" s="91">
        <f>'Resumo dos cursos'!U53</f>
        <v>0</v>
      </c>
    </row>
    <row r="51" spans="1:10" hidden="1" x14ac:dyDescent="0.25">
      <c r="A51" s="90" t="str">
        <f>IF('Controle adm. dos cursos'!H52=2023,'Controle adm. dos cursos'!D52," ")</f>
        <v>Sistema de Comando de Incidentes</v>
      </c>
      <c r="B51" s="98" t="str">
        <f>'Controle adm. dos cursos'!G52</f>
        <v>Turma I 2023</v>
      </c>
      <c r="C51" s="60">
        <f>'Resumo dos cursos'!N54</f>
        <v>73</v>
      </c>
      <c r="D51" s="60">
        <f>'Resumo dos cursos'!O54</f>
        <v>73</v>
      </c>
      <c r="E51" s="60">
        <f>'Resumo dos cursos'!P54</f>
        <v>30</v>
      </c>
      <c r="F51" s="57">
        <f t="shared" si="1"/>
        <v>41.095890410958901</v>
      </c>
      <c r="G51" s="60">
        <f>'Resumo dos cursos'!R54</f>
        <v>4</v>
      </c>
      <c r="H51" s="60">
        <f>'Resumo dos cursos'!S54</f>
        <v>5</v>
      </c>
      <c r="I51" s="60">
        <f>'Resumo dos cursos'!T54</f>
        <v>34</v>
      </c>
      <c r="J51" s="91">
        <f>'Resumo dos cursos'!U54</f>
        <v>0</v>
      </c>
    </row>
    <row r="52" spans="1:10" hidden="1" x14ac:dyDescent="0.25">
      <c r="A52" s="99" t="str">
        <f>IF('Controle adm. dos cursos'!H53=2023,'Controle adm. dos cursos'!D53," ")</f>
        <v>Sistema de Comando de Incidentes</v>
      </c>
      <c r="B52" s="115" t="str">
        <f>'Controle adm. dos cursos'!G53</f>
        <v>Turma Legendários</v>
      </c>
      <c r="C52" s="103">
        <f>'Resumo dos cursos'!N55</f>
        <v>10</v>
      </c>
      <c r="D52" s="103">
        <f>'Resumo dos cursos'!O55</f>
        <v>10</v>
      </c>
      <c r="E52" s="103">
        <f>'Resumo dos cursos'!P55</f>
        <v>2</v>
      </c>
      <c r="F52" s="104">
        <f t="shared" si="1"/>
        <v>20</v>
      </c>
      <c r="G52" s="103">
        <f>'Resumo dos cursos'!R55</f>
        <v>1</v>
      </c>
      <c r="H52" s="103">
        <f>'Resumo dos cursos'!S55</f>
        <v>0</v>
      </c>
      <c r="I52" s="103">
        <f>'Resumo dos cursos'!T55</f>
        <v>7</v>
      </c>
      <c r="J52" s="105">
        <f>'Resumo dos cursos'!U55</f>
        <v>0</v>
      </c>
    </row>
    <row r="53" spans="1:10" x14ac:dyDescent="0.25">
      <c r="A53" s="88" t="str">
        <f>IF('Controle adm. dos cursos'!H54=2024,'Controle adm. dos cursos'!D54," ")</f>
        <v>Sistema de Comando de Incidentes</v>
      </c>
      <c r="B53" s="116" t="str">
        <f>'Controle adm. dos cursos'!G54</f>
        <v>II Legendários</v>
      </c>
      <c r="C53" s="55">
        <f>'Resumo dos cursos'!N56</f>
        <v>10</v>
      </c>
      <c r="D53" s="55">
        <f>'Resumo dos cursos'!O56</f>
        <v>10</v>
      </c>
      <c r="E53" s="55">
        <f>'Resumo dos cursos'!P56</f>
        <v>7</v>
      </c>
      <c r="F53" s="106">
        <f t="shared" si="1"/>
        <v>70</v>
      </c>
      <c r="G53" s="55">
        <f>'Resumo dos cursos'!R56</f>
        <v>0</v>
      </c>
      <c r="H53" s="55">
        <f>'Resumo dos cursos'!S56</f>
        <v>0</v>
      </c>
      <c r="I53" s="55">
        <f>'Resumo dos cursos'!T56</f>
        <v>3</v>
      </c>
      <c r="J53" s="89">
        <f>'Resumo dos cursos'!U56</f>
        <v>0</v>
      </c>
    </row>
    <row r="54" spans="1:10" x14ac:dyDescent="0.25">
      <c r="A54" s="90" t="str">
        <f>IF('Controle adm. dos cursos'!H55=2024,'Controle adm. dos cursos'!D55," ")</f>
        <v>Sistema de Comando de Incidentes</v>
      </c>
      <c r="B54" s="98" t="str">
        <f>'Controle adm. dos cursos'!G55</f>
        <v>UFPR</v>
      </c>
      <c r="C54" s="60">
        <f>'Resumo dos cursos'!N57</f>
        <v>80</v>
      </c>
      <c r="D54" s="60">
        <f>'Resumo dos cursos'!O57</f>
        <v>80</v>
      </c>
      <c r="E54" s="60">
        <f>'Resumo dos cursos'!P57</f>
        <v>31</v>
      </c>
      <c r="F54" s="57">
        <f t="shared" si="1"/>
        <v>38.75</v>
      </c>
      <c r="G54" s="60">
        <f>'Resumo dos cursos'!R57</f>
        <v>5</v>
      </c>
      <c r="H54" s="60">
        <f>'Resumo dos cursos'!S57</f>
        <v>5</v>
      </c>
      <c r="I54" s="60">
        <f>'Resumo dos cursos'!T57</f>
        <v>39</v>
      </c>
      <c r="J54" s="91">
        <f>'Resumo dos cursos'!U57</f>
        <v>0</v>
      </c>
    </row>
    <row r="55" spans="1:10" x14ac:dyDescent="0.25">
      <c r="A55" s="90" t="str">
        <f>IF('Controle adm. dos cursos'!H56=2024,'Controle adm. dos cursos'!D56," ")</f>
        <v>Sistema de Comando de Incidentes</v>
      </c>
      <c r="B55" s="98" t="str">
        <f>'Controle adm. dos cursos'!G56</f>
        <v>IBAMA</v>
      </c>
      <c r="C55" s="60">
        <f>'Resumo dos cursos'!N58</f>
        <v>38</v>
      </c>
      <c r="D55" s="60">
        <f>'Resumo dos cursos'!O58</f>
        <v>38</v>
      </c>
      <c r="E55" s="60">
        <f>'Resumo dos cursos'!P58</f>
        <v>20</v>
      </c>
      <c r="F55" s="57">
        <f t="shared" si="1"/>
        <v>52.631578947368418</v>
      </c>
      <c r="G55" s="60">
        <f>'Resumo dos cursos'!R58</f>
        <v>0</v>
      </c>
      <c r="H55" s="60">
        <f>'Resumo dos cursos'!S58</f>
        <v>0</v>
      </c>
      <c r="I55" s="60">
        <f>'Resumo dos cursos'!T58</f>
        <v>18</v>
      </c>
      <c r="J55" s="91">
        <f>'Resumo dos cursos'!U58</f>
        <v>0</v>
      </c>
    </row>
    <row r="56" spans="1:10" x14ac:dyDescent="0.25">
      <c r="A56" s="90" t="str">
        <f>IF('Controle adm. dos cursos'!H57=2024,'Controle adm. dos cursos'!D57," ")</f>
        <v>Sistema de Comando de Incidentes</v>
      </c>
      <c r="B56" s="98" t="str">
        <f>'Controle adm. dos cursos'!G57</f>
        <v>III Legendários</v>
      </c>
      <c r="C56" s="60">
        <f>'Resumo dos cursos'!N59</f>
        <v>39</v>
      </c>
      <c r="D56" s="60">
        <f>'Resumo dos cursos'!O59</f>
        <v>39</v>
      </c>
      <c r="E56" s="60">
        <f>'Resumo dos cursos'!P59</f>
        <v>39</v>
      </c>
      <c r="F56" s="57">
        <f t="shared" si="1"/>
        <v>100</v>
      </c>
      <c r="G56" s="60">
        <f>'Resumo dos cursos'!R59</f>
        <v>0</v>
      </c>
      <c r="H56" s="60">
        <f>'Resumo dos cursos'!S59</f>
        <v>0</v>
      </c>
      <c r="I56" s="60">
        <f>'Resumo dos cursos'!T59</f>
        <v>0</v>
      </c>
      <c r="J56" s="91">
        <f>'Resumo dos cursos'!U59</f>
        <v>0</v>
      </c>
    </row>
    <row r="57" spans="1:10" ht="25.5" x14ac:dyDescent="0.25">
      <c r="A57" s="90" t="str">
        <f>IF('Controle adm. dos cursos'!H58=2024,'Controle adm. dos cursos'!D58," ")</f>
        <v>Atendimento de Emergências em Edificações</v>
      </c>
      <c r="B57" s="98" t="str">
        <f>'Controle adm. dos cursos'!G58</f>
        <v>UNESPAR</v>
      </c>
      <c r="C57" s="60">
        <f>'Resumo dos cursos'!N60</f>
        <v>44</v>
      </c>
      <c r="D57" s="60">
        <f>'Resumo dos cursos'!O60</f>
        <v>44</v>
      </c>
      <c r="E57" s="60">
        <f>'Resumo dos cursos'!P60</f>
        <v>11</v>
      </c>
      <c r="F57" s="57">
        <f t="shared" si="1"/>
        <v>25</v>
      </c>
      <c r="G57" s="60">
        <f>'Resumo dos cursos'!R60</f>
        <v>1</v>
      </c>
      <c r="H57" s="60">
        <f>'Resumo dos cursos'!S60</f>
        <v>0</v>
      </c>
      <c r="I57" s="60">
        <f>'Resumo dos cursos'!T60</f>
        <v>32</v>
      </c>
      <c r="J57" s="91">
        <f>'Resumo dos cursos'!U60</f>
        <v>0</v>
      </c>
    </row>
    <row r="58" spans="1:10" ht="38.25" x14ac:dyDescent="0.25">
      <c r="A58" s="90" t="str">
        <f>IF('Controle adm. dos cursos'!H59=2024,'Controle adm. dos cursos'!D59," ")</f>
        <v>Conhecimentos Básicos para Integrantes da Rede Estadual de Emergência de Radioamadores</v>
      </c>
      <c r="B58" s="98" t="str">
        <f>'Controle adm. dos cursos'!G59</f>
        <v>I Supervisores</v>
      </c>
      <c r="C58" s="60">
        <f>'Resumo dos cursos'!N61</f>
        <v>29</v>
      </c>
      <c r="D58" s="60">
        <f>'Resumo dos cursos'!O61</f>
        <v>29</v>
      </c>
      <c r="E58" s="60">
        <f>'Resumo dos cursos'!P61</f>
        <v>21</v>
      </c>
      <c r="F58" s="57">
        <f t="shared" si="1"/>
        <v>72.41379310344827</v>
      </c>
      <c r="G58" s="60">
        <f>'Resumo dos cursos'!R61</f>
        <v>1</v>
      </c>
      <c r="H58" s="60">
        <f>'Resumo dos cursos'!S61</f>
        <v>1</v>
      </c>
      <c r="I58" s="60">
        <f>'Resumo dos cursos'!T61</f>
        <v>6</v>
      </c>
      <c r="J58" s="91">
        <f>'Resumo dos cursos'!U61</f>
        <v>0</v>
      </c>
    </row>
    <row r="59" spans="1:10" ht="38.25" x14ac:dyDescent="0.25">
      <c r="A59" s="90" t="str">
        <f>IF('Controle adm. dos cursos'!H60=2024,'Controle adm. dos cursos'!D60," ")</f>
        <v>Conhecimentos Fundamentais para Gestores Municipais de Proteção e Defesa Civil</v>
      </c>
      <c r="B59" s="98" t="str">
        <f>'Controle adm. dos cursos'!G60</f>
        <v>I 2024</v>
      </c>
      <c r="C59" s="60">
        <f>'Resumo dos cursos'!N62</f>
        <v>167</v>
      </c>
      <c r="D59" s="60">
        <f>'Resumo dos cursos'!O62</f>
        <v>167</v>
      </c>
      <c r="E59" s="60">
        <f>'Resumo dos cursos'!P62</f>
        <v>50</v>
      </c>
      <c r="F59" s="57">
        <f t="shared" si="1"/>
        <v>29.940119760479043</v>
      </c>
      <c r="G59" s="60">
        <f>'Resumo dos cursos'!R62</f>
        <v>4</v>
      </c>
      <c r="H59" s="60">
        <f>'Resumo dos cursos'!S62</f>
        <v>10</v>
      </c>
      <c r="I59" s="60">
        <f>'Resumo dos cursos'!T62</f>
        <v>103</v>
      </c>
      <c r="J59" s="91">
        <f>'Resumo dos cursos'!U62</f>
        <v>0</v>
      </c>
    </row>
    <row r="60" spans="1:10" x14ac:dyDescent="0.25">
      <c r="A60" s="90" t="str">
        <f>IF('Controle adm. dos cursos'!H61=2024,'Controle adm. dos cursos'!D61," ")</f>
        <v>Sistema de Comando de Incidentes</v>
      </c>
      <c r="B60" s="98" t="str">
        <f>'Controle adm. dos cursos'!G61</f>
        <v>COSMO</v>
      </c>
      <c r="C60" s="60">
        <f>'Resumo dos cursos'!N63</f>
        <v>6</v>
      </c>
      <c r="D60" s="60">
        <f>'Resumo dos cursos'!O63</f>
        <v>6</v>
      </c>
      <c r="E60" s="60">
        <f>'Resumo dos cursos'!P63</f>
        <v>2</v>
      </c>
      <c r="F60" s="57">
        <f t="shared" si="1"/>
        <v>33.333333333333336</v>
      </c>
      <c r="G60" s="60">
        <f>'Resumo dos cursos'!R63</f>
        <v>0</v>
      </c>
      <c r="H60" s="60">
        <f>'Resumo dos cursos'!S63</f>
        <v>0</v>
      </c>
      <c r="I60" s="60">
        <f>'Resumo dos cursos'!T63</f>
        <v>4</v>
      </c>
      <c r="J60" s="91">
        <f>'Resumo dos cursos'!U63</f>
        <v>0</v>
      </c>
    </row>
    <row r="61" spans="1:10" x14ac:dyDescent="0.25">
      <c r="A61" s="90" t="str">
        <f>IF('Controle adm. dos cursos'!H62=2024,'Controle adm. dos cursos'!D62," ")</f>
        <v>Sistema de Comando de Incidentes</v>
      </c>
      <c r="B61" s="98" t="str">
        <f>'Controle adm. dos cursos'!G62</f>
        <v>CRMV</v>
      </c>
      <c r="C61" s="60">
        <f>'Resumo dos cursos'!N64</f>
        <v>43</v>
      </c>
      <c r="D61" s="60">
        <f>'Resumo dos cursos'!O64</f>
        <v>43</v>
      </c>
      <c r="E61" s="60">
        <f>'Resumo dos cursos'!P64</f>
        <v>34</v>
      </c>
      <c r="F61" s="57">
        <f t="shared" si="1"/>
        <v>79.069767441860463</v>
      </c>
      <c r="G61" s="60">
        <f>'Resumo dos cursos'!R64</f>
        <v>1</v>
      </c>
      <c r="H61" s="60">
        <f>'Resumo dos cursos'!S64</f>
        <v>8</v>
      </c>
      <c r="I61" s="60">
        <f>'Resumo dos cursos'!T64</f>
        <v>0</v>
      </c>
      <c r="J61" s="91">
        <f>'Resumo dos cursos'!U64</f>
        <v>0</v>
      </c>
    </row>
    <row r="62" spans="1:10" x14ac:dyDescent="0.25">
      <c r="A62" s="90" t="str">
        <f>IF('Controle adm. dos cursos'!H63=2024,'Controle adm. dos cursos'!D63," ")</f>
        <v>Sistema de Comando de Incidentes</v>
      </c>
      <c r="B62" s="98" t="str">
        <f>'Controle adm. dos cursos'!G63</f>
        <v>IAT</v>
      </c>
      <c r="C62" s="60">
        <f>'Resumo dos cursos'!N65</f>
        <v>7111</v>
      </c>
      <c r="D62" s="60">
        <f>'Resumo dos cursos'!O65</f>
        <v>7111</v>
      </c>
      <c r="E62" s="60">
        <f>'Resumo dos cursos'!P65</f>
        <v>5860</v>
      </c>
      <c r="F62" s="57">
        <f t="shared" si="1"/>
        <v>82.407537617775276</v>
      </c>
      <c r="G62" s="60">
        <f>'Resumo dos cursos'!R65</f>
        <v>347</v>
      </c>
      <c r="H62" s="60">
        <f>'Resumo dos cursos'!S65</f>
        <v>187</v>
      </c>
      <c r="I62" s="60">
        <f>'Resumo dos cursos'!T65</f>
        <v>717</v>
      </c>
      <c r="J62" s="91">
        <f>'Resumo dos cursos'!U65</f>
        <v>0</v>
      </c>
    </row>
    <row r="63" spans="1:10" ht="38.25" x14ac:dyDescent="0.25">
      <c r="A63" s="90" t="str">
        <f>IF('Controle adm. dos cursos'!H64=2024,'Controle adm. dos cursos'!D64," ")</f>
        <v>Conhecimentos Básicos para Integrantes da Rede Estadual de Emergência de Radioamadores</v>
      </c>
      <c r="B63" s="98" t="str">
        <f>'Controle adm. dos cursos'!G64</f>
        <v>II Adjuntos</v>
      </c>
      <c r="C63" s="60">
        <f>'Resumo dos cursos'!N66</f>
        <v>25</v>
      </c>
      <c r="D63" s="60">
        <f>'Resumo dos cursos'!O66</f>
        <v>25</v>
      </c>
      <c r="E63" s="60">
        <f>'Resumo dos cursos'!P66</f>
        <v>25</v>
      </c>
      <c r="F63" s="57">
        <f t="shared" si="1"/>
        <v>100</v>
      </c>
      <c r="G63" s="60">
        <f>'Resumo dos cursos'!R66</f>
        <v>0</v>
      </c>
      <c r="H63" s="60">
        <f>'Resumo dos cursos'!S66</f>
        <v>0</v>
      </c>
      <c r="I63" s="60">
        <f>'Resumo dos cursos'!T66</f>
        <v>0</v>
      </c>
      <c r="J63" s="91">
        <f>'Resumo dos cursos'!U66</f>
        <v>0</v>
      </c>
    </row>
    <row r="64" spans="1:10" ht="25.5" x14ac:dyDescent="0.25">
      <c r="A64" s="90" t="str">
        <f>IF('Controle adm. dos cursos'!H65=2024,'Controle adm. dos cursos'!D65," ")</f>
        <v>Formação de Brigadistas Escolares e Monitores de Segurança</v>
      </c>
      <c r="B64" s="98" t="str">
        <f>'Controle adm. dos cursos'!G65</f>
        <v>I 2024</v>
      </c>
      <c r="C64" s="61">
        <f>'Resumo dos cursos'!N67</f>
        <v>16</v>
      </c>
      <c r="D64" s="61">
        <f>'Resumo dos cursos'!O67</f>
        <v>16</v>
      </c>
      <c r="E64" s="61">
        <f>'Resumo dos cursos'!P67</f>
        <v>6</v>
      </c>
      <c r="F64" s="61">
        <f t="shared" si="1"/>
        <v>37.5</v>
      </c>
      <c r="G64" s="61">
        <f>'Resumo dos cursos'!R67</f>
        <v>1</v>
      </c>
      <c r="H64" s="61">
        <f>'Resumo dos cursos'!S67</f>
        <v>9</v>
      </c>
      <c r="I64" s="61">
        <f>'Resumo dos cursos'!T67</f>
        <v>0</v>
      </c>
      <c r="J64" s="91">
        <f>'Resumo dos cursos'!U67</f>
        <v>0</v>
      </c>
    </row>
    <row r="65" spans="1:10" ht="38.25" x14ac:dyDescent="0.25">
      <c r="A65" s="90" t="str">
        <f>IF('Controle adm. dos cursos'!H66=2024,'Controle adm. dos cursos'!D66," ")</f>
        <v>Capacitação e Conhecimentos Fundamentais para Atividades de Defesa Civil </v>
      </c>
      <c r="B65" s="98" t="str">
        <f>'Controle adm. dos cursos'!G66</f>
        <v>CMEIV 2024</v>
      </c>
      <c r="C65" s="60">
        <f>'Resumo dos cursos'!N68</f>
        <v>35</v>
      </c>
      <c r="D65" s="60">
        <f>'Resumo dos cursos'!O68</f>
        <v>35</v>
      </c>
      <c r="E65" s="60">
        <f>'Resumo dos cursos'!P68</f>
        <v>17</v>
      </c>
      <c r="F65" s="57">
        <f t="shared" si="1"/>
        <v>48.571428571428569</v>
      </c>
      <c r="G65" s="60">
        <f>'Resumo dos cursos'!R68</f>
        <v>1</v>
      </c>
      <c r="H65" s="60">
        <f>'Resumo dos cursos'!S68</f>
        <v>1</v>
      </c>
      <c r="I65" s="60">
        <f>'Resumo dos cursos'!T68</f>
        <v>5</v>
      </c>
      <c r="J65" s="91">
        <f>'Resumo dos cursos'!U68</f>
        <v>0</v>
      </c>
    </row>
    <row r="66" spans="1:10" x14ac:dyDescent="0.25">
      <c r="A66" s="90" t="str">
        <f>IF('Controle adm. dos cursos'!H67=2024,'Controle adm. dos cursos'!D67," ")</f>
        <v>Sistema de Comando de Incidentes</v>
      </c>
      <c r="B66" s="98" t="str">
        <f>'Controle adm. dos cursos'!G67</f>
        <v>COSMO II</v>
      </c>
      <c r="C66" s="60">
        <f>'Resumo dos cursos'!N69</f>
        <v>63</v>
      </c>
      <c r="D66" s="60">
        <f>'Resumo dos cursos'!O69</f>
        <v>63</v>
      </c>
      <c r="E66" s="60">
        <f>'Resumo dos cursos'!P69</f>
        <v>23</v>
      </c>
      <c r="F66" s="57">
        <f t="shared" si="1"/>
        <v>36.507936507936506</v>
      </c>
      <c r="G66" s="60">
        <f>'Resumo dos cursos'!R69</f>
        <v>9</v>
      </c>
      <c r="H66" s="60">
        <f>'Resumo dos cursos'!S69</f>
        <v>3</v>
      </c>
      <c r="I66" s="60">
        <f>'Resumo dos cursos'!T69</f>
        <v>28</v>
      </c>
      <c r="J66" s="91">
        <f>'Resumo dos cursos'!U69</f>
        <v>0</v>
      </c>
    </row>
    <row r="67" spans="1:10" ht="25.5" x14ac:dyDescent="0.25">
      <c r="A67" s="90" t="str">
        <f>IF('Controle adm. dos cursos'!H68=2024,'Controle adm. dos cursos'!D68," ")</f>
        <v>Atendimento de Emergências em Edificações</v>
      </c>
      <c r="B67" s="98" t="str">
        <f>'Controle adm. dos cursos'!G68</f>
        <v>SESP</v>
      </c>
      <c r="C67" s="60">
        <f>'Resumo dos cursos'!N70</f>
        <v>75</v>
      </c>
      <c r="D67" s="60">
        <f>'Resumo dos cursos'!O70</f>
        <v>75</v>
      </c>
      <c r="E67" s="60">
        <f>'Resumo dos cursos'!P70</f>
        <v>9</v>
      </c>
      <c r="F67" s="57">
        <f t="shared" si="1"/>
        <v>12</v>
      </c>
      <c r="G67" s="60">
        <f>'Resumo dos cursos'!R70</f>
        <v>0</v>
      </c>
      <c r="H67" s="60">
        <f>'Resumo dos cursos'!S70</f>
        <v>38</v>
      </c>
      <c r="I67" s="60">
        <f>'Resumo dos cursos'!T70</f>
        <v>28</v>
      </c>
      <c r="J67" s="91">
        <f>'Resumo dos cursos'!U70</f>
        <v>0</v>
      </c>
    </row>
    <row r="68" spans="1:10" x14ac:dyDescent="0.25">
      <c r="A68" s="90" t="str">
        <f>IF('Controle adm. dos cursos'!H69=2024,'Controle adm. dos cursos'!D69," ")</f>
        <v>Sistema de Comando de Incidentes</v>
      </c>
      <c r="B68" s="98" t="str">
        <f>'Controle adm. dos cursos'!G69</f>
        <v>7º GB</v>
      </c>
      <c r="C68" s="60">
        <f>'Resumo dos cursos'!N71</f>
        <v>32</v>
      </c>
      <c r="D68" s="60">
        <f>'Resumo dos cursos'!O71</f>
        <v>32</v>
      </c>
      <c r="E68" s="60">
        <f>'Resumo dos cursos'!P71</f>
        <v>18</v>
      </c>
      <c r="F68" s="57">
        <f t="shared" ref="F68:F89" si="2">IFERROR(((E68*100)/D68),0)</f>
        <v>56.25</v>
      </c>
      <c r="G68" s="60">
        <f>'Resumo dos cursos'!R71</f>
        <v>1</v>
      </c>
      <c r="H68" s="60">
        <f>'Resumo dos cursos'!S71</f>
        <v>3</v>
      </c>
      <c r="I68" s="60">
        <f>'Resumo dos cursos'!T71</f>
        <v>10</v>
      </c>
      <c r="J68" s="91">
        <f>'Resumo dos cursos'!U71</f>
        <v>0</v>
      </c>
    </row>
    <row r="69" spans="1:10" ht="25.5" x14ac:dyDescent="0.25">
      <c r="A69" s="90" t="str">
        <f>IF('Controle adm. dos cursos'!H70=2024,'Controle adm. dos cursos'!D70," ")</f>
        <v>Capacitação em Brigadistas Civis Voluntários</v>
      </c>
      <c r="B69" s="98" t="str">
        <f>'Controle adm. dos cursos'!G70</f>
        <v>RMC - 2024</v>
      </c>
      <c r="C69" s="60">
        <f>'Resumo dos cursos'!N72</f>
        <v>12</v>
      </c>
      <c r="D69" s="60">
        <f>'Resumo dos cursos'!O72</f>
        <v>12</v>
      </c>
      <c r="E69" s="60">
        <f>'Resumo dos cursos'!P72</f>
        <v>7</v>
      </c>
      <c r="F69" s="57">
        <f t="shared" si="2"/>
        <v>58.333333333333336</v>
      </c>
      <c r="G69" s="60">
        <f>'Resumo dos cursos'!R72</f>
        <v>0</v>
      </c>
      <c r="H69" s="60">
        <f>'Resumo dos cursos'!S72</f>
        <v>1</v>
      </c>
      <c r="I69" s="60">
        <f>'Resumo dos cursos'!T72</f>
        <v>4</v>
      </c>
      <c r="J69" s="91">
        <f>'Resumo dos cursos'!U72</f>
        <v>0</v>
      </c>
    </row>
    <row r="70" spans="1:10" x14ac:dyDescent="0.25">
      <c r="A70" s="90" t="str">
        <f>IF('Controle adm. dos cursos'!H71=2024,'Controle adm. dos cursos'!D71," ")</f>
        <v>Sistema de Comando de Incidentes</v>
      </c>
      <c r="B70" s="98" t="str">
        <f>'Controle adm. dos cursos'!G71</f>
        <v>Legendários - Pato Branco</v>
      </c>
      <c r="C70" s="60">
        <f>'Resumo dos cursos'!N73</f>
        <v>66</v>
      </c>
      <c r="D70" s="60">
        <f>'Resumo dos cursos'!O73</f>
        <v>66</v>
      </c>
      <c r="E70" s="60">
        <f>'Resumo dos cursos'!P73</f>
        <v>41</v>
      </c>
      <c r="F70" s="57">
        <f t="shared" si="2"/>
        <v>62.121212121212125</v>
      </c>
      <c r="G70" s="60">
        <f>'Resumo dos cursos'!R73</f>
        <v>4</v>
      </c>
      <c r="H70" s="60">
        <f>'Resumo dos cursos'!S73</f>
        <v>3</v>
      </c>
      <c r="I70" s="60">
        <f>'Resumo dos cursos'!T73</f>
        <v>18</v>
      </c>
      <c r="J70" s="91">
        <f>'Resumo dos cursos'!U73</f>
        <v>0</v>
      </c>
    </row>
    <row r="71" spans="1:10" x14ac:dyDescent="0.25">
      <c r="A71" s="90" t="str">
        <f>IF('Controle adm. dos cursos'!H72=2024,'Controle adm. dos cursos'!D72," ")</f>
        <v>Sistema de Comando de Incidentes</v>
      </c>
      <c r="B71" s="98" t="str">
        <f>'Controle adm. dos cursos'!G72</f>
        <v>Clube Paranaese de Montanhismo</v>
      </c>
      <c r="C71" s="60">
        <f>'Resumo dos cursos'!N74</f>
        <v>19</v>
      </c>
      <c r="D71" s="60">
        <f>'Resumo dos cursos'!O74</f>
        <v>19</v>
      </c>
      <c r="E71" s="60">
        <f>'Resumo dos cursos'!P74</f>
        <v>6</v>
      </c>
      <c r="F71" s="57">
        <f t="shared" si="2"/>
        <v>31.578947368421051</v>
      </c>
      <c r="G71" s="60">
        <f>'Resumo dos cursos'!R74</f>
        <v>1</v>
      </c>
      <c r="H71" s="60">
        <f>'Resumo dos cursos'!S74</f>
        <v>1</v>
      </c>
      <c r="I71" s="60">
        <f>'Resumo dos cursos'!T74</f>
        <v>11</v>
      </c>
      <c r="J71" s="91">
        <f>'Resumo dos cursos'!U74</f>
        <v>0</v>
      </c>
    </row>
    <row r="72" spans="1:10" x14ac:dyDescent="0.25">
      <c r="A72" s="90" t="str">
        <f>IF('Controle adm. dos cursos'!H73=2024,'Controle adm. dos cursos'!D73," ")</f>
        <v>Sistema de Comando de Incidentes</v>
      </c>
      <c r="B72" s="98" t="str">
        <f>'Controle adm. dos cursos'!G73</f>
        <v>ADAPAR - 2024</v>
      </c>
      <c r="C72" s="60">
        <f>'Resumo dos cursos'!N75</f>
        <v>18</v>
      </c>
      <c r="D72" s="60">
        <f>'Resumo dos cursos'!O75</f>
        <v>18</v>
      </c>
      <c r="E72" s="60">
        <f>'Resumo dos cursos'!P75</f>
        <v>10</v>
      </c>
      <c r="F72" s="57">
        <f t="shared" si="2"/>
        <v>55.555555555555557</v>
      </c>
      <c r="G72" s="60">
        <f>'Resumo dos cursos'!R75</f>
        <v>6</v>
      </c>
      <c r="H72" s="60">
        <f>'Resumo dos cursos'!S75</f>
        <v>0</v>
      </c>
      <c r="I72" s="60">
        <f>'Resumo dos cursos'!T75</f>
        <v>2</v>
      </c>
      <c r="J72" s="91">
        <f>'Resumo dos cursos'!U75</f>
        <v>0</v>
      </c>
    </row>
    <row r="73" spans="1:10" x14ac:dyDescent="0.25">
      <c r="A73" s="90" t="str">
        <f>IF('Controle adm. dos cursos'!H74=2024,'Controle adm. dos cursos'!D74," ")</f>
        <v>Sistema de Comando de Incidentes</v>
      </c>
      <c r="B73" s="98" t="str">
        <f>'Controle adm. dos cursos'!G74</f>
        <v>II 7º GB</v>
      </c>
      <c r="C73" s="60">
        <f>'Resumo dos cursos'!N76</f>
        <v>63</v>
      </c>
      <c r="D73" s="60">
        <f>'Resumo dos cursos'!O76</f>
        <v>63</v>
      </c>
      <c r="E73" s="60">
        <f>'Resumo dos cursos'!P76</f>
        <v>29</v>
      </c>
      <c r="F73" s="57">
        <f t="shared" si="2"/>
        <v>46.031746031746032</v>
      </c>
      <c r="G73" s="60">
        <f>'Resumo dos cursos'!R76</f>
        <v>1</v>
      </c>
      <c r="H73" s="60">
        <f>'Resumo dos cursos'!S76</f>
        <v>4</v>
      </c>
      <c r="I73" s="60">
        <f>'Resumo dos cursos'!T76</f>
        <v>29</v>
      </c>
      <c r="J73" s="91">
        <f>'Resumo dos cursos'!U76</f>
        <v>0</v>
      </c>
    </row>
    <row r="74" spans="1:10" x14ac:dyDescent="0.25">
      <c r="A74" s="90" t="str">
        <f>IF('Controle adm. dos cursos'!H75=2024,'Controle adm. dos cursos'!D75," ")</f>
        <v>Capacitação de Agentes de Defesa Civil</v>
      </c>
      <c r="B74" s="98" t="str">
        <f>'Controle adm. dos cursos'!G75</f>
        <v>I 2024</v>
      </c>
      <c r="C74" s="60">
        <f>'Resumo dos cursos'!N77</f>
        <v>48</v>
      </c>
      <c r="D74" s="60">
        <f>'Resumo dos cursos'!O77</f>
        <v>48</v>
      </c>
      <c r="E74" s="60">
        <f>'Resumo dos cursos'!P77</f>
        <v>42</v>
      </c>
      <c r="F74" s="57">
        <f t="shared" si="2"/>
        <v>87.5</v>
      </c>
      <c r="G74" s="60">
        <f>'Resumo dos cursos'!R77</f>
        <v>0</v>
      </c>
      <c r="H74" s="60">
        <f>'Resumo dos cursos'!S77</f>
        <v>0</v>
      </c>
      <c r="I74" s="60">
        <f>'Resumo dos cursos'!T77</f>
        <v>6</v>
      </c>
      <c r="J74" s="91">
        <f>'Resumo dos cursos'!U77</f>
        <v>0</v>
      </c>
    </row>
    <row r="75" spans="1:10" x14ac:dyDescent="0.25">
      <c r="A75" s="90" t="str">
        <f>IF('Controle adm. dos cursos'!H76=2024,'Controle adm. dos cursos'!D76," ")</f>
        <v>Sistema de Comando de Incidentes</v>
      </c>
      <c r="B75" s="98" t="str">
        <f>'Controle adm. dos cursos'!G76</f>
        <v>5ª CORPDEC</v>
      </c>
      <c r="C75" s="60">
        <f>'Resumo dos cursos'!N78</f>
        <v>13</v>
      </c>
      <c r="D75" s="60">
        <f>'Resumo dos cursos'!O78</f>
        <v>13</v>
      </c>
      <c r="E75" s="60">
        <f>'Resumo dos cursos'!P78</f>
        <v>13</v>
      </c>
      <c r="F75" s="57">
        <f t="shared" si="2"/>
        <v>100</v>
      </c>
      <c r="G75" s="60">
        <f>'Resumo dos cursos'!R78</f>
        <v>0</v>
      </c>
      <c r="H75" s="60">
        <f>'Resumo dos cursos'!S78</f>
        <v>0</v>
      </c>
      <c r="I75" s="60">
        <f>'Resumo dos cursos'!T78</f>
        <v>0</v>
      </c>
      <c r="J75" s="91">
        <f>'Resumo dos cursos'!U78</f>
        <v>0</v>
      </c>
    </row>
    <row r="76" spans="1:10" x14ac:dyDescent="0.25">
      <c r="A76" s="90" t="str">
        <f>IF('Controle adm. dos cursos'!H77=2024,'Controle adm. dos cursos'!D77," ")</f>
        <v>Sistema de Comando de Incidentes</v>
      </c>
      <c r="B76" s="98" t="str">
        <f>'Controle adm. dos cursos'!G77</f>
        <v>LEC/UFPR</v>
      </c>
      <c r="C76" s="60">
        <f>'Resumo dos cursos'!N79</f>
        <v>217</v>
      </c>
      <c r="D76" s="60">
        <f>'Resumo dos cursos'!O79</f>
        <v>217</v>
      </c>
      <c r="E76" s="60">
        <f>'Resumo dos cursos'!P79</f>
        <v>49</v>
      </c>
      <c r="F76" s="57">
        <f t="shared" si="2"/>
        <v>22.580645161290324</v>
      </c>
      <c r="G76" s="60">
        <f>'Resumo dos cursos'!R79</f>
        <v>13</v>
      </c>
      <c r="H76" s="60">
        <f>'Resumo dos cursos'!S79</f>
        <v>7</v>
      </c>
      <c r="I76" s="60">
        <f>'Resumo dos cursos'!T79</f>
        <v>95</v>
      </c>
      <c r="J76" s="91">
        <f>'Resumo dos cursos'!U79</f>
        <v>0</v>
      </c>
    </row>
    <row r="77" spans="1:10" ht="25.5" x14ac:dyDescent="0.25">
      <c r="A77" s="90" t="str">
        <f>IF('Controle adm. dos cursos'!H78=2024,'Controle adm. dos cursos'!D78," ")</f>
        <v>Curso Introdutório de Aeronaves Remotamente Pilotadas</v>
      </c>
      <c r="B77" s="98" t="str">
        <f>'Controle adm. dos cursos'!G78</f>
        <v>I - IAT</v>
      </c>
      <c r="C77" s="60">
        <f>'Resumo dos cursos'!N80</f>
        <v>239</v>
      </c>
      <c r="D77" s="60">
        <f>'Resumo dos cursos'!O80</f>
        <v>239</v>
      </c>
      <c r="E77" s="60">
        <f>'Resumo dos cursos'!P80</f>
        <v>239</v>
      </c>
      <c r="F77" s="57">
        <f t="shared" si="2"/>
        <v>100</v>
      </c>
      <c r="G77" s="60">
        <f>'Resumo dos cursos'!R80</f>
        <v>0</v>
      </c>
      <c r="H77" s="60">
        <f>'Resumo dos cursos'!S80</f>
        <v>0</v>
      </c>
      <c r="I77" s="60">
        <f>'Resumo dos cursos'!T80</f>
        <v>0</v>
      </c>
      <c r="J77" s="91">
        <f>'Resumo dos cursos'!U80</f>
        <v>0</v>
      </c>
    </row>
    <row r="78" spans="1:10" x14ac:dyDescent="0.25">
      <c r="A78" s="90" t="str">
        <f>IF('Controle adm. dos cursos'!H79=2024,'Controle adm. dos cursos'!D79," ")</f>
        <v>Sistema de Comando de Incidentes</v>
      </c>
      <c r="B78" s="98" t="str">
        <f>'Controle adm. dos cursos'!G79</f>
        <v>Legendários - Norte do Paraná</v>
      </c>
      <c r="C78" s="60">
        <f>'Resumo dos cursos'!N81</f>
        <v>8</v>
      </c>
      <c r="D78" s="60">
        <f>'Resumo dos cursos'!O81</f>
        <v>8</v>
      </c>
      <c r="E78" s="60">
        <f>'Resumo dos cursos'!P81</f>
        <v>5</v>
      </c>
      <c r="F78" s="57">
        <f t="shared" si="2"/>
        <v>62.5</v>
      </c>
      <c r="G78" s="60">
        <f>'Resumo dos cursos'!R81</f>
        <v>0</v>
      </c>
      <c r="H78" s="60">
        <f>'Resumo dos cursos'!S81</f>
        <v>2</v>
      </c>
      <c r="I78" s="60">
        <f>'Resumo dos cursos'!T81</f>
        <v>1</v>
      </c>
      <c r="J78" s="91">
        <f>'Resumo dos cursos'!U81</f>
        <v>0</v>
      </c>
    </row>
    <row r="79" spans="1:10" ht="25.5" x14ac:dyDescent="0.25">
      <c r="A79" s="90" t="str">
        <f>IF('Controle adm. dos cursos'!H80=2024,'Controle adm. dos cursos'!D80," ")</f>
        <v>Capacitação de Brigadistas Civis Municipais</v>
      </c>
      <c r="B79" s="98" t="str">
        <f>'Controle adm. dos cursos'!G80</f>
        <v>I 2024</v>
      </c>
      <c r="C79" s="60">
        <f>'Resumo dos cursos'!N82</f>
        <v>31</v>
      </c>
      <c r="D79" s="60">
        <f>'Resumo dos cursos'!O82</f>
        <v>31</v>
      </c>
      <c r="E79" s="60">
        <f>'Resumo dos cursos'!P82</f>
        <v>11</v>
      </c>
      <c r="F79" s="57">
        <f t="shared" si="2"/>
        <v>35.483870967741936</v>
      </c>
      <c r="G79" s="60">
        <f>'Resumo dos cursos'!R82</f>
        <v>4</v>
      </c>
      <c r="H79" s="60">
        <f>'Resumo dos cursos'!S82</f>
        <v>2</v>
      </c>
      <c r="I79" s="60">
        <f>'Resumo dos cursos'!T82</f>
        <v>14</v>
      </c>
      <c r="J79" s="91">
        <f>'Resumo dos cursos'!U82</f>
        <v>0</v>
      </c>
    </row>
    <row r="80" spans="1:10" x14ac:dyDescent="0.25">
      <c r="A80" s="90" t="str">
        <f>IF('Controle adm. dos cursos'!H81=2024,'Controle adm. dos cursos'!D81," ")</f>
        <v>Sistema de Comando de Incidentes</v>
      </c>
      <c r="B80" s="98" t="str">
        <f>'Controle adm. dos cursos'!G81</f>
        <v>Marinha do Brasil</v>
      </c>
      <c r="C80" s="60">
        <f>'Resumo dos cursos'!N83</f>
        <v>5</v>
      </c>
      <c r="D80" s="60">
        <f>'Resumo dos cursos'!O83</f>
        <v>5</v>
      </c>
      <c r="E80" s="60">
        <f>'Resumo dos cursos'!P83</f>
        <v>5</v>
      </c>
      <c r="F80" s="57">
        <f t="shared" si="2"/>
        <v>100</v>
      </c>
      <c r="G80" s="60">
        <f>'Resumo dos cursos'!R83</f>
        <v>0</v>
      </c>
      <c r="H80" s="60">
        <f>'Resumo dos cursos'!S83</f>
        <v>0</v>
      </c>
      <c r="I80" s="60">
        <f>'Resumo dos cursos'!T83</f>
        <v>0</v>
      </c>
      <c r="J80" s="91">
        <f>'Resumo dos cursos'!U83</f>
        <v>0</v>
      </c>
    </row>
    <row r="81" spans="1:10" x14ac:dyDescent="0.25">
      <c r="A81" s="90" t="str">
        <f>IF('Controle adm. dos cursos'!H82=2024,'Controle adm. dos cursos'!D82," ")</f>
        <v>Sistema de Comando de Incidentes</v>
      </c>
      <c r="B81" s="98" t="str">
        <f>'Controle adm. dos cursos'!G82</f>
        <v>Brigadistas Civis Municipais</v>
      </c>
      <c r="C81" s="60">
        <f>'Resumo dos cursos'!N84</f>
        <v>11</v>
      </c>
      <c r="D81" s="60">
        <f>'Resumo dos cursos'!O84</f>
        <v>11</v>
      </c>
      <c r="E81" s="60">
        <f>'Resumo dos cursos'!P84</f>
        <v>10</v>
      </c>
      <c r="F81" s="57">
        <f t="shared" si="2"/>
        <v>90.909090909090907</v>
      </c>
      <c r="G81" s="60">
        <f>'Resumo dos cursos'!R84</f>
        <v>0</v>
      </c>
      <c r="H81" s="60">
        <f>'Resumo dos cursos'!S84</f>
        <v>0</v>
      </c>
      <c r="I81" s="60">
        <f>'Resumo dos cursos'!T84</f>
        <v>1</v>
      </c>
      <c r="J81" s="91">
        <f>'Resumo dos cursos'!U84</f>
        <v>0</v>
      </c>
    </row>
    <row r="82" spans="1:10" ht="25.5" x14ac:dyDescent="0.25">
      <c r="A82" s="90" t="str">
        <f>IF('Controle adm. dos cursos'!H83=2024,'Controle adm. dos cursos'!D83," ")</f>
        <v>Curso Introdutório de Aeronaves Remotamente Pilotadas</v>
      </c>
      <c r="B82" s="98" t="str">
        <f>'Controle adm. dos cursos'!G83</f>
        <v>II - SEDEST</v>
      </c>
      <c r="C82" s="60">
        <f>'Resumo dos cursos'!N85</f>
        <v>3</v>
      </c>
      <c r="D82" s="60">
        <f>'Resumo dos cursos'!O85</f>
        <v>3</v>
      </c>
      <c r="E82" s="60">
        <f>'Resumo dos cursos'!P85</f>
        <v>3</v>
      </c>
      <c r="F82" s="57">
        <f t="shared" si="2"/>
        <v>100</v>
      </c>
      <c r="G82" s="60">
        <f>'Resumo dos cursos'!R85</f>
        <v>0</v>
      </c>
      <c r="H82" s="60">
        <f>'Resumo dos cursos'!S85</f>
        <v>0</v>
      </c>
      <c r="I82" s="60">
        <f>'Resumo dos cursos'!T85</f>
        <v>0</v>
      </c>
      <c r="J82" s="91">
        <f>'Resumo dos cursos'!U85</f>
        <v>0</v>
      </c>
    </row>
    <row r="83" spans="1:10" ht="25.5" x14ac:dyDescent="0.25">
      <c r="A83" s="90" t="str">
        <f>IF('Controle adm. dos cursos'!H84=2024,'Controle adm. dos cursos'!D84," ")</f>
        <v>Curso Introdutório de Aeronaves Remotamente Pilotadas</v>
      </c>
      <c r="B83" s="98" t="str">
        <f>'Controle adm. dos cursos'!G84</f>
        <v>III - SECOM</v>
      </c>
      <c r="C83" s="60">
        <f>'Resumo dos cursos'!N86</f>
        <v>24</v>
      </c>
      <c r="D83" s="60">
        <f>'Resumo dos cursos'!O86</f>
        <v>24</v>
      </c>
      <c r="E83" s="60">
        <f>'Resumo dos cursos'!P86</f>
        <v>24</v>
      </c>
      <c r="F83" s="57">
        <f t="shared" si="2"/>
        <v>100</v>
      </c>
      <c r="G83" s="60">
        <f>'Resumo dos cursos'!R86</f>
        <v>0</v>
      </c>
      <c r="H83" s="60">
        <f>'Resumo dos cursos'!S86</f>
        <v>0</v>
      </c>
      <c r="I83" s="60">
        <f>'Resumo dos cursos'!T86</f>
        <v>0</v>
      </c>
      <c r="J83" s="91">
        <f>'Resumo dos cursos'!U86</f>
        <v>0</v>
      </c>
    </row>
    <row r="84" spans="1:10" x14ac:dyDescent="0.25">
      <c r="A84" s="90" t="str">
        <f>IF('Controle adm. dos cursos'!H85=2024,'Controle adm. dos cursos'!D85," ")</f>
        <v>Capacitação de Agentes de Defesa Civil</v>
      </c>
      <c r="B84" s="98" t="str">
        <f>'Controle adm. dos cursos'!G85</f>
        <v>II 2024</v>
      </c>
      <c r="C84" s="60">
        <f>'Resumo dos cursos'!N87</f>
        <v>25</v>
      </c>
      <c r="D84" s="60">
        <f>'Resumo dos cursos'!O87</f>
        <v>25</v>
      </c>
      <c r="E84" s="60">
        <f>'Resumo dos cursos'!P87</f>
        <v>9</v>
      </c>
      <c r="F84" s="57">
        <f t="shared" si="2"/>
        <v>36</v>
      </c>
      <c r="G84" s="60">
        <f>'Resumo dos cursos'!R87</f>
        <v>3</v>
      </c>
      <c r="H84" s="60">
        <f>'Resumo dos cursos'!S87</f>
        <v>1</v>
      </c>
      <c r="I84" s="60">
        <f>'Resumo dos cursos'!T87</f>
        <v>12</v>
      </c>
      <c r="J84" s="91">
        <f>'Resumo dos cursos'!U87</f>
        <v>0</v>
      </c>
    </row>
    <row r="85" spans="1:10" ht="38.25" x14ac:dyDescent="0.25">
      <c r="A85" s="90" t="str">
        <f>IF('Controle adm. dos cursos'!H86=2024,'Controle adm. dos cursos'!D86," ")</f>
        <v>Capacitação e Conhecimentos Fundamentais para Atividades de Defesa Civil </v>
      </c>
      <c r="B85" s="98" t="str">
        <f>'Controle adm. dos cursos'!G86</f>
        <v>2 CMEIV 2024</v>
      </c>
      <c r="C85" s="60">
        <f>'Resumo dos cursos'!N88</f>
        <v>28</v>
      </c>
      <c r="D85" s="60">
        <f>'Resumo dos cursos'!O88</f>
        <v>28</v>
      </c>
      <c r="E85" s="60">
        <f>'Resumo dos cursos'!P88</f>
        <v>11</v>
      </c>
      <c r="F85" s="57">
        <f t="shared" si="2"/>
        <v>39.285714285714285</v>
      </c>
      <c r="G85" s="60">
        <f>'Resumo dos cursos'!R88</f>
        <v>0</v>
      </c>
      <c r="H85" s="60">
        <f>'Resumo dos cursos'!S88</f>
        <v>0</v>
      </c>
      <c r="I85" s="60">
        <f>'Resumo dos cursos'!T88</f>
        <v>17</v>
      </c>
      <c r="J85" s="91">
        <f>'Resumo dos cursos'!U88</f>
        <v>0</v>
      </c>
    </row>
    <row r="86" spans="1:10" x14ac:dyDescent="0.25">
      <c r="A86" s="90" t="str">
        <f>IF('Controle adm. dos cursos'!H87=2024,'Controle adm. dos cursos'!D87," ")</f>
        <v>Sistema de Comando de Incidentes</v>
      </c>
      <c r="B86" s="98" t="str">
        <f>'Controle adm. dos cursos'!G87</f>
        <v>Assistência Social</v>
      </c>
      <c r="C86" s="60">
        <f>'Resumo dos cursos'!N89</f>
        <v>1</v>
      </c>
      <c r="D86" s="60">
        <f>'Resumo dos cursos'!O89</f>
        <v>1</v>
      </c>
      <c r="E86" s="60">
        <f>'Resumo dos cursos'!P89</f>
        <v>1</v>
      </c>
      <c r="F86" s="57">
        <f t="shared" si="2"/>
        <v>100</v>
      </c>
      <c r="G86" s="60">
        <f>'Resumo dos cursos'!R89</f>
        <v>0</v>
      </c>
      <c r="H86" s="60">
        <f>'Resumo dos cursos'!S89</f>
        <v>0</v>
      </c>
      <c r="I86" s="60">
        <f>'Resumo dos cursos'!T89</f>
        <v>0</v>
      </c>
      <c r="J86" s="91">
        <f>'Resumo dos cursos'!U89</f>
        <v>0</v>
      </c>
    </row>
    <row r="87" spans="1:10" x14ac:dyDescent="0.25">
      <c r="A87" s="90" t="str">
        <f>IF('Controle adm. dos cursos'!H88=2024,'Controle adm. dos cursos'!D88," ")</f>
        <v>Sistema de Comando de Incidentes</v>
      </c>
      <c r="B87" s="98" t="str">
        <f>'Controle adm. dos cursos'!G88</f>
        <v>1º Seminário Estadual P2R2</v>
      </c>
      <c r="C87" s="60">
        <f>'Resumo dos cursos'!N90</f>
        <v>2</v>
      </c>
      <c r="D87" s="60">
        <f>'Resumo dos cursos'!O90</f>
        <v>2</v>
      </c>
      <c r="E87" s="60">
        <f>'Resumo dos cursos'!P90</f>
        <v>0</v>
      </c>
      <c r="F87" s="57">
        <f t="shared" si="2"/>
        <v>0</v>
      </c>
      <c r="G87" s="60">
        <f>'Resumo dos cursos'!R90</f>
        <v>0</v>
      </c>
      <c r="H87" s="60">
        <f>'Resumo dos cursos'!S90</f>
        <v>0</v>
      </c>
      <c r="I87" s="60">
        <f>'Resumo dos cursos'!T90</f>
        <v>0</v>
      </c>
      <c r="J87" s="91">
        <f>'Resumo dos cursos'!U90</f>
        <v>0</v>
      </c>
    </row>
    <row r="88" spans="1:10" x14ac:dyDescent="0.25">
      <c r="A88" s="90" t="str">
        <f>IF('Controle adm. dos cursos'!H90=2024,'Controle adm. dos cursos'!D90," ")</f>
        <v xml:space="preserve"> </v>
      </c>
      <c r="B88" s="98" t="str">
        <f>'Controle adm. dos cursos'!G90</f>
        <v>Indígenas FEM</v>
      </c>
      <c r="C88" s="60">
        <f>'Resumo dos cursos'!N92</f>
        <v>0</v>
      </c>
      <c r="D88" s="60">
        <f>'Resumo dos cursos'!O92</f>
        <v>0</v>
      </c>
      <c r="E88" s="60">
        <f>'Resumo dos cursos'!P92</f>
        <v>0</v>
      </c>
      <c r="F88" s="57">
        <f t="shared" si="2"/>
        <v>0</v>
      </c>
      <c r="G88" s="60">
        <f>'Resumo dos cursos'!R92</f>
        <v>0</v>
      </c>
      <c r="H88" s="60">
        <f>'Resumo dos cursos'!S92</f>
        <v>0</v>
      </c>
      <c r="I88" s="60">
        <f>'Resumo dos cursos'!T92</f>
        <v>0</v>
      </c>
      <c r="J88" s="91">
        <f>'Resumo dos cursos'!U92</f>
        <v>0</v>
      </c>
    </row>
    <row r="89" spans="1:10" x14ac:dyDescent="0.25">
      <c r="A89" s="90" t="str">
        <f>IF('Controle adm. dos cursos'!H94=2024,'Controle adm. dos cursos'!D94," ")</f>
        <v xml:space="preserve"> </v>
      </c>
      <c r="B89" s="98" t="str">
        <f>'Controle adm. dos cursos'!G94</f>
        <v>I 2025</v>
      </c>
      <c r="C89" s="60">
        <f>'Resumo dos cursos'!N97</f>
        <v>111</v>
      </c>
      <c r="D89" s="60">
        <f>'Resumo dos cursos'!O97</f>
        <v>111</v>
      </c>
      <c r="E89" s="60">
        <f>'Resumo dos cursos'!P97</f>
        <v>75</v>
      </c>
      <c r="F89" s="57">
        <f t="shared" si="2"/>
        <v>67.567567567567565</v>
      </c>
      <c r="G89" s="60">
        <f>'Resumo dos cursos'!R97</f>
        <v>14</v>
      </c>
      <c r="H89" s="60">
        <f>'Resumo dos cursos'!S97</f>
        <v>5</v>
      </c>
      <c r="I89" s="60">
        <f>'Resumo dos cursos'!T97</f>
        <v>17</v>
      </c>
      <c r="J89" s="91">
        <f>'Resumo dos cursos'!U97</f>
        <v>0</v>
      </c>
    </row>
  </sheetData>
  <sheetProtection algorithmName="SHA-512" hashValue="EWQ+p0k3IUcgk9eJTUGdResLk1i/5R4tGapPm8ma0JJDpNaiLgz+zhZzrTJBfPJdJKLkQooTCq9Yw6vKudSAbw==" saltValue="hMSLDHFdS34XB0gvez+eww==" spinCount="100000" sheet="1" objects="1" scenarios="1"/>
  <mergeCells count="2">
    <mergeCell ref="A1:J1"/>
    <mergeCell ref="C2:J2"/>
  </mergeCells>
  <conditionalFormatting sqref="F35:F63 F65:F89">
    <cfRule type="cellIs" dxfId="17" priority="2" operator="equal">
      <formula>0</formula>
    </cfRule>
    <cfRule type="cellIs" dxfId="16" priority="3" operator="equal">
      <formula>0</formula>
    </cfRule>
  </conditionalFormatting>
  <conditionalFormatting sqref="F5:F34">
    <cfRule type="cellIs" dxfId="15" priority="4" operator="equal">
      <formula>0</formula>
    </cfRule>
    <cfRule type="cellIs" dxfId="14" priority="5" operator="equal">
      <formula>0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Controle adm. dos cursos</vt:lpstr>
      <vt:lpstr>Resumo dos cursos</vt:lpstr>
      <vt:lpstr>Resultados</vt:lpstr>
      <vt:lpstr>2019</vt:lpstr>
      <vt:lpstr>2020</vt:lpstr>
      <vt:lpstr>2021</vt:lpstr>
      <vt:lpstr>2022</vt:lpstr>
      <vt:lpstr>2023</vt:lpstr>
      <vt:lpstr>2024</vt:lpstr>
      <vt:lpstr>2025</vt:lpstr>
      <vt:lpstr>Cursos ofertados</vt:lpstr>
      <vt:lpstr>'2022'!Titulos_de_impressao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Frates Simiano</dc:creator>
  <dc:description/>
  <cp:lastModifiedBy>FABIO DELEK</cp:lastModifiedBy>
  <cp:revision>3</cp:revision>
  <cp:lastPrinted>2025-07-23T17:49:23Z</cp:lastPrinted>
  <dcterms:created xsi:type="dcterms:W3CDTF">2017-11-21T16:49:37Z</dcterms:created>
  <dcterms:modified xsi:type="dcterms:W3CDTF">2025-10-06T18:25:57Z</dcterms:modified>
  <dc:language>pt-BR</dc:language>
</cp:coreProperties>
</file>